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все!$A$1:$L$184</definedName>
  </definedNames>
  <calcPr calcId="162913"/>
</workbook>
</file>

<file path=xl/calcChain.xml><?xml version="1.0" encoding="utf-8"?>
<calcChain xmlns="http://schemas.openxmlformats.org/spreadsheetml/2006/main">
  <c r="I183" i="1" l="1"/>
  <c r="H183" i="1"/>
  <c r="G183" i="1"/>
  <c r="H182" i="1"/>
  <c r="G172" i="1"/>
  <c r="G165" i="1"/>
  <c r="I164" i="1"/>
  <c r="J147" i="1"/>
  <c r="I147" i="1"/>
  <c r="J146" i="1"/>
  <c r="I146" i="1"/>
  <c r="L137" i="1"/>
  <c r="G129" i="1"/>
  <c r="I110" i="1"/>
  <c r="B94" i="1"/>
  <c r="A94" i="1"/>
  <c r="B58" i="1"/>
  <c r="A58" i="1"/>
  <c r="B40" i="1"/>
  <c r="A40" i="1"/>
  <c r="L182" i="1" l="1"/>
  <c r="L154" i="1"/>
  <c r="L146" i="1"/>
  <c r="L110" i="1"/>
  <c r="L101" i="1"/>
  <c r="L66" i="1"/>
  <c r="L57" i="1"/>
  <c r="L39" i="1"/>
  <c r="L22" i="1"/>
  <c r="J85" i="1" l="1"/>
  <c r="I85" i="1"/>
  <c r="H85" i="1"/>
  <c r="G85" i="1"/>
  <c r="J84" i="1"/>
  <c r="I84" i="1"/>
  <c r="H84" i="1"/>
  <c r="G84" i="1"/>
  <c r="J14" i="1" l="1"/>
  <c r="I14" i="1"/>
  <c r="H14" i="1"/>
  <c r="G14" i="1"/>
  <c r="L164" i="1" l="1"/>
  <c r="L118" i="1"/>
  <c r="L128" i="1"/>
  <c r="L47" i="1"/>
  <c r="L12" i="1"/>
  <c r="L93" i="1" l="1"/>
  <c r="J46" i="1" l="1"/>
  <c r="I46" i="1"/>
  <c r="H46" i="1"/>
  <c r="G46" i="1"/>
  <c r="J169" i="1" l="1"/>
  <c r="H169" i="1"/>
  <c r="G169" i="1"/>
  <c r="L129" i="1"/>
  <c r="L76" i="1"/>
  <c r="L77" i="1" s="1"/>
  <c r="I63" i="1"/>
  <c r="H63" i="1"/>
  <c r="G63" i="1"/>
  <c r="G41" i="1"/>
  <c r="H41" i="1"/>
  <c r="I41" i="1"/>
  <c r="J41" i="1"/>
  <c r="J33" i="1"/>
  <c r="I33" i="1"/>
  <c r="H33" i="1"/>
  <c r="G33" i="1"/>
  <c r="J31" i="1" l="1"/>
  <c r="I31" i="1"/>
  <c r="H31" i="1"/>
  <c r="G31" i="1"/>
  <c r="L172" i="1" l="1"/>
  <c r="I169" i="1"/>
  <c r="G167" i="1"/>
  <c r="J155" i="1"/>
  <c r="I155" i="1"/>
  <c r="H155" i="1"/>
  <c r="G155" i="1"/>
  <c r="H156" i="1" l="1"/>
  <c r="J156" i="1"/>
  <c r="I156" i="1"/>
  <c r="G156" i="1"/>
  <c r="L30" i="1"/>
  <c r="G130" i="1" l="1"/>
  <c r="H130" i="1"/>
  <c r="I130" i="1"/>
  <c r="J130" i="1"/>
  <c r="G131" i="1"/>
  <c r="H131" i="1"/>
  <c r="I131" i="1"/>
  <c r="J131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J63" i="1"/>
  <c r="H137" i="1" l="1"/>
  <c r="G137" i="1"/>
  <c r="L83" i="1"/>
  <c r="G32" i="1" l="1"/>
  <c r="G35" i="1"/>
  <c r="G36" i="1"/>
  <c r="J175" i="1" l="1"/>
  <c r="J174" i="1"/>
  <c r="J173" i="1"/>
  <c r="I174" i="1"/>
  <c r="H174" i="1"/>
  <c r="H173" i="1"/>
  <c r="H176" i="1"/>
  <c r="G176" i="1"/>
  <c r="G174" i="1" l="1"/>
  <c r="J167" i="1"/>
  <c r="J166" i="1"/>
  <c r="I166" i="1"/>
  <c r="H166" i="1"/>
  <c r="G166" i="1"/>
  <c r="J158" i="1"/>
  <c r="I158" i="1"/>
  <c r="H158" i="1"/>
  <c r="G158" i="1"/>
  <c r="J149" i="1" l="1"/>
  <c r="I149" i="1"/>
  <c r="H149" i="1"/>
  <c r="H148" i="1"/>
  <c r="G149" i="1"/>
  <c r="J139" i="1"/>
  <c r="H141" i="1"/>
  <c r="H138" i="1"/>
  <c r="G138" i="1"/>
  <c r="J122" i="1"/>
  <c r="J121" i="1"/>
  <c r="J120" i="1"/>
  <c r="I120" i="1"/>
  <c r="G122" i="1"/>
  <c r="J113" i="1"/>
  <c r="I113" i="1"/>
  <c r="H113" i="1"/>
  <c r="G113" i="1"/>
  <c r="J102" i="1"/>
  <c r="J103" i="1"/>
  <c r="I103" i="1"/>
  <c r="H103" i="1"/>
  <c r="G103" i="1"/>
  <c r="J86" i="1"/>
  <c r="H87" i="1"/>
  <c r="J68" i="1"/>
  <c r="J67" i="1"/>
  <c r="I67" i="1"/>
  <c r="I68" i="1"/>
  <c r="G67" i="1"/>
  <c r="J50" i="1" l="1"/>
  <c r="J49" i="1"/>
  <c r="I50" i="1"/>
  <c r="H51" i="1"/>
  <c r="H50" i="1"/>
  <c r="H48" i="1"/>
  <c r="G50" i="1"/>
  <c r="J42" i="1"/>
  <c r="G42" i="1"/>
  <c r="J32" i="1"/>
  <c r="H32" i="1"/>
  <c r="J26" i="1"/>
  <c r="J25" i="1"/>
  <c r="H25" i="1"/>
  <c r="I13" i="1" l="1"/>
  <c r="I15" i="1"/>
  <c r="H15" i="1"/>
  <c r="J16" i="1"/>
  <c r="G16" i="1"/>
  <c r="G6" i="1"/>
  <c r="H120" i="1" l="1"/>
  <c r="G120" i="1"/>
  <c r="G68" i="1"/>
  <c r="H68" i="1"/>
  <c r="I49" i="1"/>
  <c r="H49" i="1"/>
  <c r="G49" i="1"/>
  <c r="I32" i="1"/>
  <c r="I24" i="1"/>
  <c r="J144" i="1" l="1"/>
  <c r="F47" i="1" l="1"/>
  <c r="L23" i="1" l="1"/>
  <c r="G175" i="1" l="1"/>
  <c r="J170" i="1"/>
  <c r="I170" i="1"/>
  <c r="H170" i="1"/>
  <c r="G170" i="1"/>
  <c r="J151" i="1"/>
  <c r="I151" i="1"/>
  <c r="H151" i="1"/>
  <c r="G151" i="1"/>
  <c r="F154" i="1"/>
  <c r="J148" i="1"/>
  <c r="I148" i="1"/>
  <c r="G148" i="1"/>
  <c r="J141" i="1"/>
  <c r="I140" i="1"/>
  <c r="J140" i="1"/>
  <c r="H140" i="1"/>
  <c r="G140" i="1"/>
  <c r="I138" i="1"/>
  <c r="G121" i="1"/>
  <c r="J115" i="1"/>
  <c r="I115" i="1"/>
  <c r="H115" i="1"/>
  <c r="G115" i="1"/>
  <c r="J81" i="1"/>
  <c r="I81" i="1"/>
  <c r="H81" i="1"/>
  <c r="G81" i="1"/>
  <c r="I104" i="1"/>
  <c r="H104" i="1"/>
  <c r="G104" i="1"/>
  <c r="J95" i="1"/>
  <c r="F110" i="1"/>
  <c r="F101" i="1"/>
  <c r="J104" i="1"/>
  <c r="J89" i="1"/>
  <c r="I89" i="1"/>
  <c r="H89" i="1"/>
  <c r="G89" i="1"/>
  <c r="F111" i="1" l="1"/>
  <c r="L111" i="1"/>
  <c r="J87" i="1"/>
  <c r="G86" i="1"/>
  <c r="F83" i="1"/>
  <c r="J72" i="1" l="1"/>
  <c r="I72" i="1"/>
  <c r="H72" i="1"/>
  <c r="G72" i="1"/>
  <c r="J62" i="1"/>
  <c r="I62" i="1"/>
  <c r="H62" i="1"/>
  <c r="G62" i="1"/>
  <c r="J61" i="1"/>
  <c r="I61" i="1"/>
  <c r="H61" i="1"/>
  <c r="G61" i="1"/>
  <c r="J53" i="1"/>
  <c r="I53" i="1"/>
  <c r="H53" i="1"/>
  <c r="G53" i="1"/>
  <c r="H45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3" i="1" l="1"/>
  <c r="G173" i="1"/>
  <c r="J157" i="1" l="1"/>
  <c r="I157" i="1"/>
  <c r="H157" i="1"/>
  <c r="G157" i="1"/>
  <c r="J161" i="1"/>
  <c r="I161" i="1"/>
  <c r="H161" i="1"/>
  <c r="G161" i="1"/>
  <c r="J160" i="1"/>
  <c r="I160" i="1"/>
  <c r="H160" i="1"/>
  <c r="G160" i="1"/>
  <c r="G152" i="1"/>
  <c r="G154" i="1" s="1"/>
  <c r="H152" i="1"/>
  <c r="I152" i="1"/>
  <c r="I154" i="1" s="1"/>
  <c r="J152" i="1"/>
  <c r="I139" i="1"/>
  <c r="H139" i="1"/>
  <c r="G139" i="1"/>
  <c r="J138" i="1"/>
  <c r="I141" i="1"/>
  <c r="G141" i="1"/>
  <c r="I144" i="1"/>
  <c r="H144" i="1"/>
  <c r="G144" i="1"/>
  <c r="J143" i="1"/>
  <c r="I143" i="1"/>
  <c r="H143" i="1"/>
  <c r="H146" i="1" s="1"/>
  <c r="H147" i="1" s="1"/>
  <c r="G143" i="1"/>
  <c r="I122" i="1"/>
  <c r="H122" i="1"/>
  <c r="I121" i="1"/>
  <c r="H121" i="1"/>
  <c r="J124" i="1"/>
  <c r="I124" i="1"/>
  <c r="H124" i="1"/>
  <c r="G124" i="1"/>
  <c r="J119" i="1"/>
  <c r="I119" i="1"/>
  <c r="H119" i="1"/>
  <c r="G119" i="1"/>
  <c r="J112" i="1"/>
  <c r="I112" i="1"/>
  <c r="H112" i="1"/>
  <c r="G112" i="1"/>
  <c r="I102" i="1"/>
  <c r="H102" i="1"/>
  <c r="G102" i="1"/>
  <c r="I95" i="1"/>
  <c r="H95" i="1"/>
  <c r="G95" i="1"/>
  <c r="J98" i="1"/>
  <c r="I98" i="1"/>
  <c r="H98" i="1"/>
  <c r="G98" i="1"/>
  <c r="J99" i="1"/>
  <c r="I99" i="1"/>
  <c r="H99" i="1"/>
  <c r="G99" i="1"/>
  <c r="I86" i="1"/>
  <c r="H86" i="1"/>
  <c r="I87" i="1"/>
  <c r="G87" i="1"/>
  <c r="J90" i="1"/>
  <c r="I90" i="1"/>
  <c r="H90" i="1"/>
  <c r="G90" i="1"/>
  <c r="G93" i="1" s="1"/>
  <c r="H93" i="1" l="1"/>
  <c r="J154" i="1"/>
  <c r="H154" i="1"/>
  <c r="H101" i="1"/>
  <c r="I101" i="1"/>
  <c r="J101" i="1"/>
  <c r="G101" i="1"/>
  <c r="J78" i="1"/>
  <c r="I78" i="1"/>
  <c r="H78" i="1"/>
  <c r="G78" i="1"/>
  <c r="J80" i="1"/>
  <c r="I80" i="1"/>
  <c r="H80" i="1"/>
  <c r="G80" i="1"/>
  <c r="H67" i="1"/>
  <c r="J70" i="1"/>
  <c r="I70" i="1"/>
  <c r="H70" i="1"/>
  <c r="G70" i="1"/>
  <c r="J106" i="1"/>
  <c r="I106" i="1"/>
  <c r="H106" i="1"/>
  <c r="G106" i="1"/>
  <c r="J69" i="1"/>
  <c r="I69" i="1"/>
  <c r="H69" i="1"/>
  <c r="G69" i="1"/>
  <c r="J59" i="1" l="1"/>
  <c r="I59" i="1"/>
  <c r="H59" i="1"/>
  <c r="G59" i="1"/>
  <c r="J48" i="1"/>
  <c r="I48" i="1"/>
  <c r="I57" i="1" s="1"/>
  <c r="G48" i="1"/>
  <c r="J54" i="1"/>
  <c r="I54" i="1"/>
  <c r="H54" i="1"/>
  <c r="H57" i="1" s="1"/>
  <c r="G54" i="1"/>
  <c r="J51" i="1"/>
  <c r="I51" i="1"/>
  <c r="G51" i="1"/>
  <c r="G57" i="1" l="1"/>
  <c r="I25" i="1"/>
  <c r="G25" i="1"/>
  <c r="G30" i="1" s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J30" i="1" l="1"/>
  <c r="F182" i="1"/>
  <c r="J179" i="1"/>
  <c r="I179" i="1"/>
  <c r="H179" i="1"/>
  <c r="G179" i="1"/>
  <c r="J178" i="1"/>
  <c r="I178" i="1"/>
  <c r="H178" i="1"/>
  <c r="G178" i="1"/>
  <c r="G182" i="1" s="1"/>
  <c r="J176" i="1"/>
  <c r="I176" i="1"/>
  <c r="I175" i="1"/>
  <c r="H175" i="1"/>
  <c r="F172" i="1"/>
  <c r="J172" i="1"/>
  <c r="I167" i="1"/>
  <c r="I172" i="1" s="1"/>
  <c r="H167" i="1"/>
  <c r="H172" i="1" s="1"/>
  <c r="L165" i="1"/>
  <c r="F164" i="1"/>
  <c r="F165" i="1" s="1"/>
  <c r="G164" i="1"/>
  <c r="B147" i="1"/>
  <c r="A147" i="1"/>
  <c r="F146" i="1"/>
  <c r="G146" i="1"/>
  <c r="G147" i="1" s="1"/>
  <c r="B138" i="1"/>
  <c r="A138" i="1"/>
  <c r="F137" i="1"/>
  <c r="B129" i="1"/>
  <c r="A129" i="1"/>
  <c r="F128" i="1"/>
  <c r="J125" i="1"/>
  <c r="J128" i="1" s="1"/>
  <c r="I125" i="1"/>
  <c r="I128" i="1" s="1"/>
  <c r="H125" i="1"/>
  <c r="H128" i="1" s="1"/>
  <c r="G125" i="1"/>
  <c r="G128" i="1" s="1"/>
  <c r="B119" i="1"/>
  <c r="A119" i="1"/>
  <c r="F118" i="1"/>
  <c r="J118" i="1"/>
  <c r="I118" i="1"/>
  <c r="H118" i="1"/>
  <c r="G118" i="1"/>
  <c r="B111" i="1"/>
  <c r="A111" i="1"/>
  <c r="J108" i="1"/>
  <c r="I108" i="1"/>
  <c r="H108" i="1"/>
  <c r="G108" i="1"/>
  <c r="J105" i="1"/>
  <c r="I105" i="1"/>
  <c r="H105" i="1"/>
  <c r="G105" i="1"/>
  <c r="B102" i="1"/>
  <c r="A102" i="1"/>
  <c r="F93" i="1"/>
  <c r="J93" i="1"/>
  <c r="J94" i="1" s="1"/>
  <c r="J83" i="1"/>
  <c r="I83" i="1"/>
  <c r="H83" i="1"/>
  <c r="G83" i="1"/>
  <c r="G94" i="1" s="1"/>
  <c r="B77" i="1"/>
  <c r="A77" i="1"/>
  <c r="F76" i="1"/>
  <c r="J73" i="1"/>
  <c r="I73" i="1"/>
  <c r="H73" i="1"/>
  <c r="G73" i="1"/>
  <c r="B67" i="1"/>
  <c r="A67" i="1"/>
  <c r="F66" i="1"/>
  <c r="J66" i="1"/>
  <c r="I66" i="1"/>
  <c r="H66" i="1"/>
  <c r="G66" i="1"/>
  <c r="F57" i="1"/>
  <c r="J45" i="1"/>
  <c r="I45" i="1"/>
  <c r="G45" i="1"/>
  <c r="J44" i="1"/>
  <c r="I44" i="1"/>
  <c r="H44" i="1"/>
  <c r="G44" i="1"/>
  <c r="G47" i="1" s="1"/>
  <c r="G58" i="1" s="1"/>
  <c r="I42" i="1"/>
  <c r="H42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I182" i="1" l="1"/>
  <c r="J40" i="1"/>
  <c r="G110" i="1"/>
  <c r="G111" i="1" s="1"/>
  <c r="H47" i="1"/>
  <c r="H58" i="1" s="1"/>
  <c r="I47" i="1"/>
  <c r="I58" i="1" s="1"/>
  <c r="I111" i="1"/>
  <c r="J110" i="1"/>
  <c r="J111" i="1" s="1"/>
  <c r="F183" i="1"/>
  <c r="L183" i="1"/>
  <c r="H110" i="1"/>
  <c r="H111" i="1" s="1"/>
  <c r="J182" i="1"/>
  <c r="J183" i="1" s="1"/>
  <c r="F129" i="1"/>
  <c r="I129" i="1"/>
  <c r="J47" i="1"/>
  <c r="I165" i="1"/>
  <c r="F40" i="1"/>
  <c r="I39" i="1"/>
  <c r="I40" i="1" s="1"/>
  <c r="I137" i="1"/>
  <c r="H164" i="1"/>
  <c r="H165" i="1" s="1"/>
  <c r="J164" i="1"/>
  <c r="J165" i="1" s="1"/>
  <c r="J57" i="1"/>
  <c r="J137" i="1"/>
  <c r="F147" i="1"/>
  <c r="L147" i="1"/>
  <c r="J129" i="1"/>
  <c r="J23" i="1"/>
  <c r="F77" i="1"/>
  <c r="G76" i="1"/>
  <c r="G77" i="1" s="1"/>
  <c r="I76" i="1"/>
  <c r="I77" i="1" s="1"/>
  <c r="H129" i="1"/>
  <c r="H76" i="1"/>
  <c r="H77" i="1" s="1"/>
  <c r="J76" i="1"/>
  <c r="J77" i="1" s="1"/>
  <c r="F58" i="1"/>
  <c r="H94" i="1"/>
  <c r="L94" i="1"/>
  <c r="F94" i="1"/>
  <c r="I93" i="1"/>
  <c r="I94" i="1" s="1"/>
  <c r="L58" i="1"/>
  <c r="L40" i="1"/>
  <c r="G40" i="1"/>
  <c r="H40" i="1"/>
  <c r="F23" i="1"/>
  <c r="H23" i="1"/>
  <c r="I23" i="1"/>
  <c r="H184" i="1" l="1"/>
  <c r="I184" i="1"/>
  <c r="J58" i="1"/>
  <c r="J184" i="1" s="1"/>
  <c r="F184" i="1"/>
  <c r="G23" i="1"/>
  <c r="G184" i="1" s="1"/>
  <c r="L184" i="1"/>
</calcChain>
</file>

<file path=xl/sharedStrings.xml><?xml version="1.0" encoding="utf-8"?>
<sst xmlns="http://schemas.openxmlformats.org/spreadsheetml/2006/main" count="408" uniqueCount="163">
  <si>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</si>
  <si>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</si>
  <si>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</si>
  <si>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</si>
  <si>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</si>
  <si>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</si>
  <si>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</si>
  <si>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</si>
  <si>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</si>
  <si>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</si>
  <si>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</si>
  <si>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</si>
  <si>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</si>
  <si>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</si>
  <si>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</si>
  <si>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</si>
  <si>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</si>
  <si>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</si>
  <si>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</si>
  <si>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</si>
  <si>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</si>
  <si>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</si>
  <si>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</si>
  <si>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</si>
  <si>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</si>
  <si>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</si>
  <si>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</si>
  <si>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</si>
  <si>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</si>
  <si>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</si>
  <si>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</si>
  <si>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</si>
  <si>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</si>
  <si>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</si>
  <si>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</si>
  <si>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</si>
  <si>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</si>
  <si>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</si>
  <si>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</si>
  <si>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</si>
  <si>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</si>
  <si>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</si>
  <si>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</si>
  <si>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</si>
  <si>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</si>
  <si>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</si>
  <si>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</si>
  <si>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</si>
  <si>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</si>
  <si>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</si>
  <si>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</si>
  <si>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</si>
  <si>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</si>
  <si>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</si>
  <si>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</si>
  <si>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</si>
  <si>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</si>
  <si>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</si>
  <si>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</si>
  <si>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</si>
  <si>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</si>
  <si>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</si>
  <si>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</si>
  <si>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</si>
  <si>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</si>
  <si>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</si>
  <si>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</si>
  <si>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</si>
  <si>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</si>
  <si>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</si>
  <si>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</si>
  <si>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</si>
  <si>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</si>
  <si>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</si>
  <si>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</si>
  <si>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</si>
  <si>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</si>
  <si>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</si>
  <si>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</si>
  <si>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</si>
  <si>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</si>
  <si>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</si>
  <si>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</si>
  <si>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</si>
  <si>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</si>
  <si>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</si>
  <si>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</si>
  <si>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</si>
  <si>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</si>
  <si>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</si>
  <si>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</si>
  <si>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41/1</t>
  </si>
  <si>
    <t>Мясо, тушеное с овощами</t>
  </si>
  <si>
    <t>Чай с лимоном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</si>
  <si>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</si>
  <si>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</si>
  <si>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</si>
  <si>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</si>
  <si>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</si>
  <si>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</si>
  <si>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</si>
  <si>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</si>
  <si>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</si>
  <si>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</si>
  <si>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</si>
  <si>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</si>
  <si>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</si>
  <si>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</si>
  <si>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</si>
  <si>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</si>
  <si>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</si>
  <si>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</si>
  <si>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</si>
  <si>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</si>
  <si>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</si>
  <si>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</si>
  <si>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</si>
  <si>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</si>
  <si>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</si>
  <si>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</si>
  <si>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</si>
  <si>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</si>
  <si>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</si>
  <si>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</si>
  <si>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</si>
  <si>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7-11 лет</t>
  </si>
  <si>
    <t>Борщ из капусты с картофелем, сметаной, мясом и зеленью</t>
  </si>
  <si>
    <t>Жиры</t>
  </si>
  <si>
    <t>37/2</t>
  </si>
  <si>
    <t>29/11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</si>
  <si>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</si>
  <si>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</si>
  <si>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</si>
  <si>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</si>
  <si>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</si>
  <si>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</si>
  <si>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</si>
  <si>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445</t>
  </si>
  <si>
    <t>Салат из помидор с зеленью и растительным маслом</t>
  </si>
  <si>
    <t>20/1</t>
  </si>
  <si>
    <t>Кисель</t>
  </si>
  <si>
    <t>Рассольник с крупой,  сметаной, мясом и зеленью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</si>
  <si>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</si>
  <si>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</si>
  <si>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</si>
  <si>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</si>
  <si>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</si>
  <si>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</si>
  <si>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</si>
  <si>
    <t>Суп из овощей со сметаной, мясом, зеленью</t>
  </si>
  <si>
    <t>Суп крестьянский с крупой, сметаной, мясом, зеленью</t>
  </si>
  <si>
    <t>Салат из картофеля с соленым огурцом, луком и растительным маслом</t>
  </si>
  <si>
    <t>35/1</t>
  </si>
  <si>
    <t>22/2</t>
  </si>
  <si>
    <t>37/10</t>
  </si>
  <si>
    <t>36.81</t>
  </si>
  <si>
    <t>20.2</t>
  </si>
  <si>
    <t>29/10</t>
  </si>
  <si>
    <t>39/3</t>
  </si>
  <si>
    <t xml:space="preserve">Суп картофельный с крупой, рыбной консервой </t>
  </si>
  <si>
    <t>4443</t>
  </si>
  <si>
    <t>фрукты</t>
  </si>
  <si>
    <t>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</si>
</sst>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0" borderId="0" xfId="0" applyNumberFormat="1" applyFont="1" applyAlignment="1">
      <alignment vertical="center"/>
    </xf>
    <xf numFmtId="2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8" fillId="6" borderId="1" xfId="4" applyNumberFormat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 wrapText="1"/>
    </xf>
    <xf numFmtId="2" fontId="7" fillId="0" borderId="1" xfId="1" applyNumberFormat="1" applyFont="1" applyFill="1" applyBorder="1" applyAlignment="1">
      <alignment horizontal="left" vertical="center"/>
    </xf>
    <xf numFmtId="49" fontId="1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vertical="center"/>
    </xf>
    <xf numFmtId="2" fontId="17" fillId="0" borderId="6" xfId="0" applyNumberFormat="1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" xfId="0" applyNumberFormat="1" applyFont="1" applyFill="1" applyBorder="1" applyAlignment="1">
      <alignment horizontal="center" vertical="center" wrapText="1"/>
    </xf>
    <xf numFmtId="2" fontId="16" fillId="4" borderId="6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center" vertical="center"/>
    </xf>
    <xf numFmtId="2" fontId="9" fillId="5" borderId="6" xfId="4" applyNumberFormat="1" applyFont="1" applyFill="1" applyBorder="1" applyAlignment="1">
      <alignment horizontal="center" vertical="center"/>
    </xf>
    <xf numFmtId="2" fontId="9" fillId="5" borderId="6" xfId="1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left" vertical="center" wrapText="1"/>
    </xf>
    <xf numFmtId="2" fontId="16" fillId="4" borderId="1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2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2" fontId="12" fillId="4" borderId="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2" fontId="16" fillId="3" borderId="4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showGridLines="0" tabSelected="1" view="pageBreakPreview" zoomScale="70" zoomScaleNormal="70" zoomScaleSheetLayoutView="70" workbookViewId="0">
      <selection activeCell="C1" sqref="C1:E1"/>
    </sheetView>
  </sheetViews>
  <sheetFormatPr defaultColWidth="4.7109375" defaultRowHeight="22.5" customHeight="1"/>
  <cols>
    <col min="1" max="1" width="6.5703125" style="67" customWidth="1"/>
    <col min="2" max="2" width="6.7109375" style="67" customWidth="1"/>
    <col min="3" max="3" width="10.42578125" style="104" customWidth="1"/>
    <col min="4" max="4" width="15.42578125" style="104" customWidth="1"/>
    <col min="5" max="5" width="36.7109375" style="107" customWidth="1"/>
    <col min="6" max="6" width="11.42578125" style="67" customWidth="1"/>
    <col min="7" max="7" width="8.5703125" style="67" customWidth="1"/>
    <col min="8" max="8" width="9.7109375" style="67" customWidth="1"/>
    <col min="9" max="9" width="9.85546875" style="67" customWidth="1"/>
    <col min="10" max="10" width="10.7109375" style="67" customWidth="1"/>
    <col min="11" max="11" width="8.7109375" style="34" customWidth="1"/>
    <col min="12" max="12" width="12.140625" style="21" customWidth="1"/>
    <col min="13" max="16384" width="4.7109375" style="67"/>
  </cols>
  <sheetData>
    <row r="1" spans="1:14" ht="30.75" customHeight="1">
      <c r="A1" s="64" t="s">
        <v>0</v>
      </c>
      <c r="B1" s="65"/>
      <c r="C1" s="113" t="s">
        <v>162</v>
      </c>
      <c r="D1" s="114"/>
      <c r="E1" s="114"/>
      <c r="F1" s="66" t="s">
        <v>1</v>
      </c>
      <c r="G1" s="65" t="s">
        <v>2</v>
      </c>
      <c r="H1" s="115" t="s">
        <v>82</v>
      </c>
      <c r="I1" s="115"/>
      <c r="J1" s="115"/>
      <c r="K1" s="115"/>
      <c r="L1" s="39"/>
    </row>
    <row r="2" spans="1:14" ht="22.5" customHeight="1">
      <c r="A2" s="117" t="s">
        <v>3</v>
      </c>
      <c r="B2" s="118"/>
      <c r="C2" s="118"/>
      <c r="D2" s="118"/>
      <c r="E2" s="118"/>
      <c r="F2" s="118"/>
      <c r="G2" s="68" t="s">
        <v>4</v>
      </c>
      <c r="H2" s="116" t="s">
        <v>83</v>
      </c>
      <c r="I2" s="116"/>
      <c r="J2" s="116"/>
      <c r="K2" s="116"/>
      <c r="L2" s="40"/>
    </row>
    <row r="3" spans="1:14" ht="22.5" customHeight="1">
      <c r="A3" s="41" t="s">
        <v>5</v>
      </c>
      <c r="B3" s="68"/>
      <c r="C3" s="68"/>
      <c r="D3" s="42"/>
      <c r="E3" s="69" t="s">
        <v>125</v>
      </c>
      <c r="F3" s="68"/>
      <c r="G3" s="68" t="s">
        <v>6</v>
      </c>
      <c r="H3" s="70">
        <v>27</v>
      </c>
      <c r="I3" s="70">
        <v>4</v>
      </c>
      <c r="J3" s="70">
        <v>2026</v>
      </c>
      <c r="K3" s="43"/>
      <c r="L3" s="40"/>
    </row>
    <row r="4" spans="1:14" ht="22.5" customHeight="1">
      <c r="A4" s="71"/>
      <c r="B4" s="68"/>
      <c r="C4" s="68"/>
      <c r="D4" s="44"/>
      <c r="E4" s="72"/>
      <c r="F4" s="68"/>
      <c r="G4" s="68"/>
      <c r="H4" s="73" t="s">
        <v>7</v>
      </c>
      <c r="I4" s="73" t="s">
        <v>8</v>
      </c>
      <c r="J4" s="73" t="s">
        <v>9</v>
      </c>
      <c r="K4" s="45"/>
      <c r="L4" s="40"/>
    </row>
    <row r="5" spans="1:14" ht="41.25" customHeight="1">
      <c r="A5" s="46" t="s">
        <v>10</v>
      </c>
      <c r="B5" s="47" t="s">
        <v>11</v>
      </c>
      <c r="C5" s="48" t="s">
        <v>12</v>
      </c>
      <c r="D5" s="48" t="s">
        <v>13</v>
      </c>
      <c r="E5" s="49" t="s">
        <v>14</v>
      </c>
      <c r="F5" s="48" t="s">
        <v>15</v>
      </c>
      <c r="G5" s="48" t="s">
        <v>16</v>
      </c>
      <c r="H5" s="48" t="s">
        <v>127</v>
      </c>
      <c r="I5" s="48" t="s">
        <v>17</v>
      </c>
      <c r="J5" s="48" t="s">
        <v>18</v>
      </c>
      <c r="K5" s="50" t="s">
        <v>19</v>
      </c>
      <c r="L5" s="51" t="s">
        <v>20</v>
      </c>
    </row>
    <row r="6" spans="1:14" ht="33" customHeight="1">
      <c r="A6" s="74">
        <v>1</v>
      </c>
      <c r="B6" s="75">
        <v>1</v>
      </c>
      <c r="C6" s="76" t="s">
        <v>21</v>
      </c>
      <c r="D6" s="76" t="s">
        <v>22</v>
      </c>
      <c r="E6" s="13" t="s">
        <v>56</v>
      </c>
      <c r="F6" s="15">
        <v>200</v>
      </c>
      <c r="G6" s="16">
        <f>F6*7.5/200</f>
        <v>7.5</v>
      </c>
      <c r="H6" s="16">
        <f>F6*11.4/200</f>
        <v>11.4</v>
      </c>
      <c r="I6" s="16">
        <f>31.3*F6/200</f>
        <v>31.3</v>
      </c>
      <c r="J6" s="16">
        <f>257.8*F6/200</f>
        <v>257.8</v>
      </c>
      <c r="K6" s="52" t="s">
        <v>88</v>
      </c>
      <c r="L6" s="22">
        <v>33.619999999999997</v>
      </c>
      <c r="M6" s="77"/>
    </row>
    <row r="7" spans="1:14" ht="22.5" customHeight="1">
      <c r="A7" s="74"/>
      <c r="B7" s="75"/>
      <c r="C7" s="76"/>
      <c r="D7" s="78" t="s">
        <v>161</v>
      </c>
      <c r="E7" s="13" t="s">
        <v>75</v>
      </c>
      <c r="F7" s="17">
        <v>100</v>
      </c>
      <c r="G7" s="17">
        <v>0.4</v>
      </c>
      <c r="H7" s="17">
        <v>0.4</v>
      </c>
      <c r="I7" s="17">
        <v>10.95</v>
      </c>
      <c r="J7" s="17">
        <v>49</v>
      </c>
      <c r="K7" s="52" t="s">
        <v>25</v>
      </c>
      <c r="L7" s="22">
        <v>31.12</v>
      </c>
      <c r="M7" s="77"/>
    </row>
    <row r="8" spans="1:14" ht="22.5" customHeight="1">
      <c r="A8" s="74"/>
      <c r="B8" s="75"/>
      <c r="C8" s="76"/>
      <c r="D8" s="76" t="s">
        <v>23</v>
      </c>
      <c r="E8" s="13" t="s">
        <v>24</v>
      </c>
      <c r="F8" s="15">
        <v>200</v>
      </c>
      <c r="G8" s="15">
        <f>3.1*F8/200</f>
        <v>3.1</v>
      </c>
      <c r="H8" s="15">
        <f>3.2*F8/200</f>
        <v>3.2</v>
      </c>
      <c r="I8" s="15">
        <f>14.4*F8/200</f>
        <v>14.4</v>
      </c>
      <c r="J8" s="15">
        <f>99*F8/200</f>
        <v>99</v>
      </c>
      <c r="K8" s="52" t="s">
        <v>57</v>
      </c>
      <c r="L8" s="22">
        <v>22.91</v>
      </c>
      <c r="M8" s="77"/>
    </row>
    <row r="9" spans="1:14" ht="22.5" customHeight="1">
      <c r="A9" s="74"/>
      <c r="B9" s="75"/>
      <c r="C9" s="76"/>
      <c r="D9" s="76" t="s">
        <v>35</v>
      </c>
      <c r="E9" s="13" t="s">
        <v>26</v>
      </c>
      <c r="F9" s="15">
        <v>50</v>
      </c>
      <c r="G9" s="15">
        <f>F9*6.1/50</f>
        <v>6.1</v>
      </c>
      <c r="H9" s="15">
        <f>F9*3.7/50</f>
        <v>3.7</v>
      </c>
      <c r="I9" s="15">
        <f>F9*17.5/50</f>
        <v>17.5</v>
      </c>
      <c r="J9" s="15">
        <f>F9*127.7/50</f>
        <v>127.7</v>
      </c>
      <c r="K9" s="52" t="s">
        <v>89</v>
      </c>
      <c r="L9" s="22">
        <v>34.44</v>
      </c>
      <c r="M9" s="77"/>
    </row>
    <row r="10" spans="1:14" ht="22.5" customHeight="1">
      <c r="A10" s="74"/>
      <c r="B10" s="75"/>
      <c r="C10" s="76"/>
      <c r="D10" s="76" t="s">
        <v>37</v>
      </c>
      <c r="E10" s="4" t="s">
        <v>123</v>
      </c>
      <c r="F10" s="17">
        <v>30</v>
      </c>
      <c r="G10" s="17">
        <f>1.68*F10/30</f>
        <v>1.68</v>
      </c>
      <c r="H10" s="17">
        <f>0.33*F10/30</f>
        <v>0.33</v>
      </c>
      <c r="I10" s="17">
        <f>14.82*F10/30</f>
        <v>14.82</v>
      </c>
      <c r="J10" s="17">
        <f>68.97*F10/30</f>
        <v>68.97</v>
      </c>
      <c r="K10" s="52" t="s">
        <v>25</v>
      </c>
      <c r="L10" s="22">
        <v>2.95</v>
      </c>
      <c r="M10" s="77"/>
    </row>
    <row r="11" spans="1:14" ht="22.5" customHeight="1">
      <c r="A11" s="74"/>
      <c r="B11" s="75"/>
      <c r="C11" s="76"/>
      <c r="D11" s="78"/>
      <c r="E11" s="79"/>
      <c r="F11" s="80"/>
      <c r="G11" s="80"/>
      <c r="H11" s="80"/>
      <c r="I11" s="80"/>
      <c r="J11" s="80"/>
      <c r="K11" s="52"/>
      <c r="L11" s="22"/>
      <c r="M11" s="77"/>
    </row>
    <row r="12" spans="1:14" ht="22.5" customHeight="1">
      <c r="A12" s="81"/>
      <c r="B12" s="82"/>
      <c r="C12" s="83"/>
      <c r="D12" s="84" t="s">
        <v>27</v>
      </c>
      <c r="E12" s="85"/>
      <c r="F12" s="86">
        <f>SUM(F6:F11)</f>
        <v>580</v>
      </c>
      <c r="G12" s="86">
        <f>SUM(G6:G11)</f>
        <v>18.78</v>
      </c>
      <c r="H12" s="86">
        <f>SUM(H6:H11)</f>
        <v>19.029999999999998</v>
      </c>
      <c r="I12" s="86">
        <f>SUM(I6:I11)</f>
        <v>88.97</v>
      </c>
      <c r="J12" s="86">
        <f>SUM(J6:J11)</f>
        <v>602.47</v>
      </c>
      <c r="K12" s="53"/>
      <c r="L12" s="54">
        <f>SUM(L6:L11)</f>
        <v>125.03999999999999</v>
      </c>
      <c r="M12" s="77"/>
    </row>
    <row r="13" spans="1:14" ht="30" customHeight="1">
      <c r="A13" s="74">
        <f>A6</f>
        <v>1</v>
      </c>
      <c r="B13" s="75">
        <f>B6</f>
        <v>1</v>
      </c>
      <c r="C13" s="76" t="s">
        <v>28</v>
      </c>
      <c r="D13" s="76" t="s">
        <v>29</v>
      </c>
      <c r="E13" s="13" t="s">
        <v>132</v>
      </c>
      <c r="F13" s="17">
        <v>60</v>
      </c>
      <c r="G13" s="17">
        <f>F13*0.6/60</f>
        <v>0.6</v>
      </c>
      <c r="H13" s="17">
        <f>F13*6/60</f>
        <v>6</v>
      </c>
      <c r="I13" s="17">
        <f>F13*4.74/60</f>
        <v>4.74</v>
      </c>
      <c r="J13" s="17">
        <f>F13*75.44/60</f>
        <v>75.44</v>
      </c>
      <c r="K13" s="18" t="s">
        <v>76</v>
      </c>
      <c r="L13" s="22">
        <v>15.1</v>
      </c>
      <c r="M13" s="77"/>
    </row>
    <row r="14" spans="1:14" ht="30.75" customHeight="1">
      <c r="A14" s="74"/>
      <c r="B14" s="75"/>
      <c r="C14" s="76"/>
      <c r="D14" s="76" t="s">
        <v>30</v>
      </c>
      <c r="E14" s="13" t="s">
        <v>133</v>
      </c>
      <c r="F14" s="15">
        <v>200</v>
      </c>
      <c r="G14" s="16">
        <f>F14*6.3/200</f>
        <v>6.3</v>
      </c>
      <c r="H14" s="16">
        <f>F14*6.2/200</f>
        <v>6.2</v>
      </c>
      <c r="I14" s="16">
        <f>F14*17.2/200</f>
        <v>17.2</v>
      </c>
      <c r="J14" s="16">
        <f>F14*150.6/200</f>
        <v>150.6</v>
      </c>
      <c r="K14" s="18" t="s">
        <v>77</v>
      </c>
      <c r="L14" s="22">
        <v>18.96</v>
      </c>
      <c r="M14" s="77"/>
    </row>
    <row r="15" spans="1:14" ht="22.5" customHeight="1">
      <c r="A15" s="74"/>
      <c r="B15" s="75"/>
      <c r="C15" s="76"/>
      <c r="D15" s="76" t="s">
        <v>31</v>
      </c>
      <c r="E15" s="12" t="s">
        <v>47</v>
      </c>
      <c r="F15" s="17">
        <v>90</v>
      </c>
      <c r="G15" s="17">
        <f>F15*14.04/90</f>
        <v>14.04</v>
      </c>
      <c r="H15" s="17">
        <f>F15*17.46/90</f>
        <v>17.46</v>
      </c>
      <c r="I15" s="17">
        <f>F15*14.31/90</f>
        <v>14.31</v>
      </c>
      <c r="J15" s="17">
        <f>F15*270.86/90</f>
        <v>270.86</v>
      </c>
      <c r="K15" s="18" t="s">
        <v>48</v>
      </c>
      <c r="L15" s="22">
        <v>77.959999999999994</v>
      </c>
      <c r="M15" s="87"/>
      <c r="N15" s="87"/>
    </row>
    <row r="16" spans="1:14" ht="22.5" customHeight="1">
      <c r="A16" s="74"/>
      <c r="B16" s="75"/>
      <c r="C16" s="76"/>
      <c r="D16" s="76" t="s">
        <v>32</v>
      </c>
      <c r="E16" s="13" t="s">
        <v>33</v>
      </c>
      <c r="F16" s="15">
        <v>150</v>
      </c>
      <c r="G16" s="17">
        <f>F16*5.33/150</f>
        <v>5.33</v>
      </c>
      <c r="H16" s="17">
        <f>F16*3/150</f>
        <v>3</v>
      </c>
      <c r="I16" s="17">
        <f>F16*32.4/150</f>
        <v>32.4</v>
      </c>
      <c r="J16" s="17">
        <f>F16*177.75/150</f>
        <v>177.75</v>
      </c>
      <c r="K16" s="18" t="s">
        <v>67</v>
      </c>
      <c r="L16" s="22">
        <v>9.91</v>
      </c>
      <c r="M16" s="77"/>
    </row>
    <row r="17" spans="1:13" ht="22.5" customHeight="1">
      <c r="A17" s="74"/>
      <c r="B17" s="75"/>
      <c r="C17" s="76"/>
      <c r="D17" s="76" t="s">
        <v>85</v>
      </c>
      <c r="E17" s="13" t="s">
        <v>34</v>
      </c>
      <c r="F17" s="15">
        <v>200</v>
      </c>
      <c r="G17" s="16">
        <f>0.4*F17/200</f>
        <v>0.4</v>
      </c>
      <c r="H17" s="16">
        <f>0.2*F17/200</f>
        <v>0.2</v>
      </c>
      <c r="I17" s="16">
        <f>16.1*F17/200</f>
        <v>16.100000000000001</v>
      </c>
      <c r="J17" s="16">
        <f>68*F17/200</f>
        <v>68</v>
      </c>
      <c r="K17" s="18">
        <v>44206</v>
      </c>
      <c r="L17" s="22">
        <v>16.88</v>
      </c>
      <c r="M17" s="77"/>
    </row>
    <row r="18" spans="1:13" ht="29.25" customHeight="1">
      <c r="A18" s="74"/>
      <c r="B18" s="75"/>
      <c r="C18" s="76"/>
      <c r="D18" s="76" t="s">
        <v>35</v>
      </c>
      <c r="E18" s="4" t="s">
        <v>36</v>
      </c>
      <c r="F18" s="17">
        <v>30</v>
      </c>
      <c r="G18" s="17">
        <f>SUM(F18*2.37/30)</f>
        <v>2.37</v>
      </c>
      <c r="H18" s="17">
        <f>SUM(F18*0.3/30)</f>
        <v>0.3</v>
      </c>
      <c r="I18" s="17">
        <f>SUM(F18*14.49/30)</f>
        <v>14.49</v>
      </c>
      <c r="J18" s="17">
        <f>SUM(F18*70.14/30)</f>
        <v>70.14</v>
      </c>
      <c r="K18" s="18" t="s">
        <v>25</v>
      </c>
      <c r="L18" s="22">
        <v>3.19</v>
      </c>
      <c r="M18" s="77"/>
    </row>
    <row r="19" spans="1:13" ht="22.5" customHeight="1">
      <c r="A19" s="74"/>
      <c r="B19" s="75"/>
      <c r="C19" s="76"/>
      <c r="D19" s="76" t="s">
        <v>37</v>
      </c>
      <c r="E19" s="13" t="s">
        <v>123</v>
      </c>
      <c r="F19" s="17">
        <v>31</v>
      </c>
      <c r="G19" s="17">
        <f>SUM(F19*1.68/30)</f>
        <v>1.736</v>
      </c>
      <c r="H19" s="17">
        <f>SUM(F19*0.33/30)</f>
        <v>0.34100000000000003</v>
      </c>
      <c r="I19" s="17">
        <f>SUM(F19*14.82/30)</f>
        <v>15.314</v>
      </c>
      <c r="J19" s="17">
        <f>SUM(F19*68.97/30)</f>
        <v>71.269000000000005</v>
      </c>
      <c r="K19" s="18" t="s">
        <v>39</v>
      </c>
      <c r="L19" s="22">
        <v>3.05</v>
      </c>
      <c r="M19" s="77"/>
    </row>
    <row r="20" spans="1:13" ht="22.5" customHeight="1">
      <c r="A20" s="74"/>
      <c r="B20" s="75"/>
      <c r="C20" s="76"/>
      <c r="D20" s="78"/>
      <c r="E20" s="79"/>
      <c r="F20" s="80"/>
      <c r="G20" s="80"/>
      <c r="H20" s="80"/>
      <c r="I20" s="80"/>
      <c r="J20" s="80"/>
      <c r="K20" s="52"/>
      <c r="L20" s="22"/>
      <c r="M20" s="77"/>
    </row>
    <row r="21" spans="1:13" ht="22.5" customHeight="1">
      <c r="A21" s="74"/>
      <c r="B21" s="75"/>
      <c r="C21" s="76"/>
      <c r="D21" s="78"/>
      <c r="E21" s="79"/>
      <c r="F21" s="80"/>
      <c r="G21" s="80"/>
      <c r="H21" s="80"/>
      <c r="I21" s="80"/>
      <c r="J21" s="80"/>
      <c r="K21" s="52"/>
      <c r="L21" s="22"/>
      <c r="M21" s="77"/>
    </row>
    <row r="22" spans="1:13" ht="22.5" customHeight="1">
      <c r="A22" s="81"/>
      <c r="B22" s="82"/>
      <c r="C22" s="83"/>
      <c r="D22" s="84" t="s">
        <v>27</v>
      </c>
      <c r="E22" s="85"/>
      <c r="F22" s="86">
        <f>SUM(F13:F21)</f>
        <v>761</v>
      </c>
      <c r="G22" s="86">
        <f>SUM(G13:G21)-0.01</f>
        <v>30.765999999999995</v>
      </c>
      <c r="H22" s="86">
        <f t="shared" ref="H22:J22" si="0">SUM(H13:H21)</f>
        <v>33.500999999999998</v>
      </c>
      <c r="I22" s="86">
        <f t="shared" si="0"/>
        <v>114.554</v>
      </c>
      <c r="J22" s="86">
        <f t="shared" si="0"/>
        <v>884.05899999999997</v>
      </c>
      <c r="K22" s="53"/>
      <c r="L22" s="54">
        <f>L13+L14+L15+L16+L17+L18+L19+L20</f>
        <v>145.05000000000001</v>
      </c>
      <c r="M22" s="77"/>
    </row>
    <row r="23" spans="1:13" ht="22.5" customHeight="1">
      <c r="A23" s="81">
        <f>A6</f>
        <v>1</v>
      </c>
      <c r="B23" s="82">
        <f>B6</f>
        <v>1</v>
      </c>
      <c r="C23" s="108" t="s">
        <v>38</v>
      </c>
      <c r="D23" s="109"/>
      <c r="E23" s="85"/>
      <c r="F23" s="86">
        <f>F12+F22</f>
        <v>1341</v>
      </c>
      <c r="G23" s="86">
        <f t="shared" ref="G23:J23" si="1">G12+G22</f>
        <v>49.545999999999992</v>
      </c>
      <c r="H23" s="86">
        <f t="shared" si="1"/>
        <v>52.530999999999992</v>
      </c>
      <c r="I23" s="86">
        <f t="shared" si="1"/>
        <v>203.524</v>
      </c>
      <c r="J23" s="86">
        <f t="shared" si="1"/>
        <v>1486.529</v>
      </c>
      <c r="K23" s="53"/>
      <c r="L23" s="54">
        <f>L12+L22</f>
        <v>270.09000000000003</v>
      </c>
      <c r="M23" s="77"/>
    </row>
    <row r="24" spans="1:13" ht="22.5" customHeight="1">
      <c r="A24" s="74">
        <v>1</v>
      </c>
      <c r="B24" s="75">
        <v>2</v>
      </c>
      <c r="C24" s="76" t="s">
        <v>21</v>
      </c>
      <c r="D24" s="76" t="s">
        <v>31</v>
      </c>
      <c r="E24" s="12" t="s">
        <v>79</v>
      </c>
      <c r="F24" s="27">
        <v>95</v>
      </c>
      <c r="G24" s="17">
        <f>F24*12.6/90</f>
        <v>13.3</v>
      </c>
      <c r="H24" s="17">
        <f>F24*13.5/90</f>
        <v>14.25</v>
      </c>
      <c r="I24" s="17">
        <f>F24*7.83/90</f>
        <v>8.2650000000000006</v>
      </c>
      <c r="J24" s="17">
        <f>F24*203.22/90</f>
        <v>214.51000000000002</v>
      </c>
      <c r="K24" s="19" t="s">
        <v>50</v>
      </c>
      <c r="L24" s="62">
        <v>87.88</v>
      </c>
      <c r="M24" s="77"/>
    </row>
    <row r="25" spans="1:13" ht="22.5" customHeight="1">
      <c r="A25" s="74"/>
      <c r="B25" s="75"/>
      <c r="C25" s="76"/>
      <c r="D25" s="76" t="s">
        <v>32</v>
      </c>
      <c r="E25" s="12" t="s">
        <v>51</v>
      </c>
      <c r="F25" s="28">
        <v>150</v>
      </c>
      <c r="G25" s="17">
        <f>F25*3.17/150</f>
        <v>3.17</v>
      </c>
      <c r="H25" s="17">
        <f>F25*3.6/150</f>
        <v>3.6</v>
      </c>
      <c r="I25" s="17">
        <f>F25*20.4/150</f>
        <v>20.399999999999999</v>
      </c>
      <c r="J25" s="17">
        <f>F25*128/150</f>
        <v>128</v>
      </c>
      <c r="K25" s="19">
        <v>44258</v>
      </c>
      <c r="L25" s="62">
        <v>23.13</v>
      </c>
      <c r="M25" s="77"/>
    </row>
    <row r="26" spans="1:13" ht="22.5" customHeight="1">
      <c r="A26" s="74"/>
      <c r="B26" s="75"/>
      <c r="C26" s="76"/>
      <c r="D26" s="76" t="s">
        <v>23</v>
      </c>
      <c r="E26" s="13" t="s">
        <v>44</v>
      </c>
      <c r="F26" s="28">
        <v>200</v>
      </c>
      <c r="G26" s="17">
        <v>1</v>
      </c>
      <c r="H26" s="17">
        <v>0.1</v>
      </c>
      <c r="I26" s="17">
        <v>19.8</v>
      </c>
      <c r="J26" s="17">
        <f>F26*84/200</f>
        <v>84</v>
      </c>
      <c r="K26" s="52" t="s">
        <v>72</v>
      </c>
      <c r="L26" s="62">
        <v>6.78</v>
      </c>
      <c r="M26" s="77"/>
    </row>
    <row r="27" spans="1:13" ht="32.25" customHeight="1">
      <c r="A27" s="74"/>
      <c r="B27" s="75"/>
      <c r="C27" s="76"/>
      <c r="D27" s="76" t="s">
        <v>35</v>
      </c>
      <c r="E27" s="4" t="s">
        <v>36</v>
      </c>
      <c r="F27" s="27">
        <v>41</v>
      </c>
      <c r="G27" s="17">
        <f>SUM(F27*2.37/30)</f>
        <v>3.2389999999999999</v>
      </c>
      <c r="H27" s="17">
        <f>SUM(F27*0.3/30)</f>
        <v>0.41</v>
      </c>
      <c r="I27" s="17">
        <f>SUM(F27*14.49/30)</f>
        <v>19.803000000000001</v>
      </c>
      <c r="J27" s="17">
        <f>SUM(F27*70.14/30)</f>
        <v>95.858000000000004</v>
      </c>
      <c r="K27" s="52" t="s">
        <v>25</v>
      </c>
      <c r="L27" s="63">
        <v>4.3</v>
      </c>
      <c r="M27" s="77"/>
    </row>
    <row r="28" spans="1:13" ht="22.5" customHeight="1">
      <c r="A28" s="74"/>
      <c r="B28" s="75"/>
      <c r="C28" s="76"/>
      <c r="D28" s="76" t="s">
        <v>37</v>
      </c>
      <c r="E28" s="13" t="s">
        <v>123</v>
      </c>
      <c r="F28" s="27">
        <v>30</v>
      </c>
      <c r="G28" s="17">
        <f>SUM(F28*1.68/30)</f>
        <v>1.68</v>
      </c>
      <c r="H28" s="17">
        <f>SUM(F28*0.33/30)</f>
        <v>0.33</v>
      </c>
      <c r="I28" s="17">
        <f>SUM(F28*14.82/30)</f>
        <v>14.82</v>
      </c>
      <c r="J28" s="17">
        <f>SUM(F28*68.97/30)</f>
        <v>68.97</v>
      </c>
      <c r="K28" s="52" t="s">
        <v>25</v>
      </c>
      <c r="L28" s="63">
        <v>2.95</v>
      </c>
      <c r="M28" s="77"/>
    </row>
    <row r="29" spans="1:13" ht="22.5" customHeight="1">
      <c r="A29" s="74"/>
      <c r="B29" s="75"/>
      <c r="C29" s="76"/>
      <c r="D29" s="78"/>
      <c r="E29" s="79"/>
      <c r="F29" s="88"/>
      <c r="G29" s="88"/>
      <c r="H29" s="88"/>
      <c r="I29" s="88"/>
      <c r="J29" s="88"/>
      <c r="K29" s="52"/>
      <c r="L29" s="22"/>
      <c r="M29" s="77"/>
    </row>
    <row r="30" spans="1:13" ht="22.5" customHeight="1">
      <c r="A30" s="81"/>
      <c r="B30" s="82"/>
      <c r="C30" s="83"/>
      <c r="D30" s="84" t="s">
        <v>27</v>
      </c>
      <c r="E30" s="85"/>
      <c r="F30" s="86">
        <f>SUM(F24:F29)</f>
        <v>516</v>
      </c>
      <c r="G30" s="86">
        <f>SUM(G24:G29)</f>
        <v>22.388999999999999</v>
      </c>
      <c r="H30" s="86">
        <f>SUM(H24:H29)</f>
        <v>18.690000000000001</v>
      </c>
      <c r="I30" s="86">
        <f>SUM(I24:I29)</f>
        <v>83.087999999999994</v>
      </c>
      <c r="J30" s="86">
        <f>SUM(J24:J29)</f>
        <v>591.33799999999997</v>
      </c>
      <c r="K30" s="53"/>
      <c r="L30" s="54">
        <f>SUM(L24:L29)</f>
        <v>125.03999999999999</v>
      </c>
      <c r="M30" s="77"/>
    </row>
    <row r="31" spans="1:13" ht="48" customHeight="1">
      <c r="A31" s="74">
        <v>1</v>
      </c>
      <c r="B31" s="75">
        <v>2</v>
      </c>
      <c r="C31" s="76" t="s">
        <v>28</v>
      </c>
      <c r="D31" s="76" t="s">
        <v>29</v>
      </c>
      <c r="E31" s="13" t="s">
        <v>142</v>
      </c>
      <c r="F31" s="29">
        <v>70</v>
      </c>
      <c r="G31" s="17">
        <f>F31*1.28/100</f>
        <v>0.89600000000000013</v>
      </c>
      <c r="H31" s="17">
        <f>F31*5.97/100</f>
        <v>4.1789999999999994</v>
      </c>
      <c r="I31" s="17">
        <f>F31*6/100</f>
        <v>4.2</v>
      </c>
      <c r="J31" s="17">
        <f>F31*83/100</f>
        <v>58.1</v>
      </c>
      <c r="K31" s="52" t="s">
        <v>152</v>
      </c>
      <c r="L31" s="22">
        <v>9.59</v>
      </c>
      <c r="M31" s="77"/>
    </row>
    <row r="32" spans="1:13" ht="32.25" customHeight="1">
      <c r="A32" s="74"/>
      <c r="B32" s="75"/>
      <c r="C32" s="76"/>
      <c r="D32" s="76" t="s">
        <v>30</v>
      </c>
      <c r="E32" s="12" t="s">
        <v>149</v>
      </c>
      <c r="F32" s="27">
        <v>200</v>
      </c>
      <c r="G32" s="17">
        <f>F32*3.5/200</f>
        <v>3.5</v>
      </c>
      <c r="H32" s="17">
        <f>F32*7.22/200</f>
        <v>7.22</v>
      </c>
      <c r="I32" s="17">
        <f>F32*9.4/200</f>
        <v>9.4</v>
      </c>
      <c r="J32" s="17">
        <f>F32*116.8/200</f>
        <v>116.8</v>
      </c>
      <c r="K32" s="52" t="s">
        <v>156</v>
      </c>
      <c r="L32" s="22">
        <v>37.58</v>
      </c>
      <c r="M32" s="77"/>
    </row>
    <row r="33" spans="1:14" ht="22.5" customHeight="1">
      <c r="A33" s="74"/>
      <c r="B33" s="75"/>
      <c r="C33" s="76"/>
      <c r="D33" s="76" t="s">
        <v>31</v>
      </c>
      <c r="E33" s="12" t="s">
        <v>53</v>
      </c>
      <c r="F33" s="27">
        <v>250</v>
      </c>
      <c r="G33" s="17">
        <f>F33*12.3/200</f>
        <v>15.375</v>
      </c>
      <c r="H33" s="17">
        <f>F33*28.3/200</f>
        <v>35.375</v>
      </c>
      <c r="I33" s="17">
        <f>F33*38/200</f>
        <v>47.5</v>
      </c>
      <c r="J33" s="17">
        <f>460*F33/200</f>
        <v>575</v>
      </c>
      <c r="K33" s="52">
        <v>44294</v>
      </c>
      <c r="L33" s="22">
        <v>82.89</v>
      </c>
      <c r="M33" s="77"/>
    </row>
    <row r="34" spans="1:14" ht="22.5" customHeight="1">
      <c r="A34" s="74"/>
      <c r="B34" s="75"/>
      <c r="C34" s="76"/>
      <c r="D34" s="76" t="s">
        <v>85</v>
      </c>
      <c r="E34" s="12" t="s">
        <v>140</v>
      </c>
      <c r="F34" s="27">
        <v>200</v>
      </c>
      <c r="G34" s="17">
        <f>F34*H34/200</f>
        <v>0</v>
      </c>
      <c r="H34" s="17">
        <f>F34*0/200</f>
        <v>0</v>
      </c>
      <c r="I34" s="17">
        <f>F34*27.8/200</f>
        <v>27.8</v>
      </c>
      <c r="J34" s="17">
        <f>F34*111/200</f>
        <v>111</v>
      </c>
      <c r="K34" s="52">
        <v>948</v>
      </c>
      <c r="L34" s="22">
        <v>5.54</v>
      </c>
      <c r="M34" s="77"/>
    </row>
    <row r="35" spans="1:14" ht="29.25" customHeight="1">
      <c r="A35" s="74"/>
      <c r="B35" s="75"/>
      <c r="C35" s="76"/>
      <c r="D35" s="76" t="s">
        <v>35</v>
      </c>
      <c r="E35" s="4" t="s">
        <v>36</v>
      </c>
      <c r="F35" s="27">
        <v>50</v>
      </c>
      <c r="G35" s="17">
        <f>SUM(F35*3.95/50)</f>
        <v>3.95</v>
      </c>
      <c r="H35" s="17">
        <f>SUM(F35*0.5/50)</f>
        <v>0.5</v>
      </c>
      <c r="I35" s="17">
        <f>SUM(F35*24.15/50)</f>
        <v>24.15</v>
      </c>
      <c r="J35" s="17">
        <f>SUM(F35*116.9/50)</f>
        <v>116.9</v>
      </c>
      <c r="K35" s="52" t="s">
        <v>25</v>
      </c>
      <c r="L35" s="22">
        <v>5.32</v>
      </c>
      <c r="M35" s="77"/>
    </row>
    <row r="36" spans="1:14" ht="22.5" customHeight="1">
      <c r="A36" s="74"/>
      <c r="B36" s="75"/>
      <c r="C36" s="76"/>
      <c r="D36" s="76" t="s">
        <v>37</v>
      </c>
      <c r="E36" s="4" t="s">
        <v>123</v>
      </c>
      <c r="F36" s="27">
        <v>42</v>
      </c>
      <c r="G36" s="17">
        <f>SUM(F36*1.68/30)</f>
        <v>2.3519999999999999</v>
      </c>
      <c r="H36" s="17">
        <f>SUM(F36*0.33/30)</f>
        <v>0.46200000000000002</v>
      </c>
      <c r="I36" s="17">
        <f>SUM(F36*14.82/30)</f>
        <v>20.748000000000001</v>
      </c>
      <c r="J36" s="17">
        <f>SUM(F36*68.97/30)</f>
        <v>96.557999999999993</v>
      </c>
      <c r="K36" s="52" t="s">
        <v>25</v>
      </c>
      <c r="L36" s="22">
        <v>4.13</v>
      </c>
      <c r="M36" s="77"/>
    </row>
    <row r="37" spans="1:14" ht="22.5" customHeight="1">
      <c r="A37" s="74"/>
      <c r="B37" s="75"/>
      <c r="C37" s="76"/>
      <c r="D37" s="78"/>
      <c r="E37" s="79"/>
      <c r="F37" s="89"/>
      <c r="G37" s="89"/>
      <c r="H37" s="89"/>
      <c r="I37" s="89"/>
      <c r="J37" s="89"/>
      <c r="K37" s="52"/>
      <c r="L37" s="22"/>
      <c r="M37" s="77"/>
    </row>
    <row r="38" spans="1:14" ht="22.5" customHeight="1">
      <c r="A38" s="74"/>
      <c r="B38" s="75"/>
      <c r="C38" s="76"/>
      <c r="D38" s="78"/>
      <c r="E38" s="79"/>
      <c r="F38" s="89"/>
      <c r="G38" s="89"/>
      <c r="H38" s="89"/>
      <c r="I38" s="89"/>
      <c r="J38" s="89"/>
      <c r="K38" s="52"/>
      <c r="L38" s="22"/>
      <c r="M38" s="77"/>
    </row>
    <row r="39" spans="1:14" ht="22.5" customHeight="1">
      <c r="A39" s="81"/>
      <c r="B39" s="82"/>
      <c r="C39" s="83"/>
      <c r="D39" s="84" t="s">
        <v>27</v>
      </c>
      <c r="E39" s="85"/>
      <c r="F39" s="86">
        <f>SUM(F31:F38)</f>
        <v>812</v>
      </c>
      <c r="G39" s="86">
        <f>SUM(G31:G38)</f>
        <v>26.073</v>
      </c>
      <c r="H39" s="86">
        <f>SUM(H31:H38)</f>
        <v>47.736000000000004</v>
      </c>
      <c r="I39" s="86">
        <f>SUM(I31:I38)</f>
        <v>133.798</v>
      </c>
      <c r="J39" s="86">
        <f>SUM(J31:J38)</f>
        <v>1074.3579999999999</v>
      </c>
      <c r="K39" s="53"/>
      <c r="L39" s="54">
        <f>SUM(L31:L38)</f>
        <v>145.04999999999998</v>
      </c>
      <c r="M39" s="77"/>
    </row>
    <row r="40" spans="1:14" ht="22.5" customHeight="1">
      <c r="A40" s="81">
        <f>A24</f>
        <v>1</v>
      </c>
      <c r="B40" s="82">
        <f>B24</f>
        <v>2</v>
      </c>
      <c r="C40" s="108" t="s">
        <v>38</v>
      </c>
      <c r="D40" s="109"/>
      <c r="E40" s="85"/>
      <c r="F40" s="86">
        <f>F30+F39</f>
        <v>1328</v>
      </c>
      <c r="G40" s="86">
        <f>G30+G39</f>
        <v>48.462000000000003</v>
      </c>
      <c r="H40" s="86">
        <f>H30+H39</f>
        <v>66.426000000000002</v>
      </c>
      <c r="I40" s="86">
        <f>I30+I39</f>
        <v>216.886</v>
      </c>
      <c r="J40" s="86">
        <f>J30+J39</f>
        <v>1665.6959999999999</v>
      </c>
      <c r="K40" s="53"/>
      <c r="L40" s="54">
        <f>L30+L39</f>
        <v>270.08999999999997</v>
      </c>
      <c r="M40" s="77"/>
    </row>
    <row r="41" spans="1:14" ht="22.5" customHeight="1">
      <c r="A41" s="74">
        <v>1</v>
      </c>
      <c r="B41" s="75">
        <v>3</v>
      </c>
      <c r="C41" s="76" t="s">
        <v>21</v>
      </c>
      <c r="D41" s="76" t="s">
        <v>31</v>
      </c>
      <c r="E41" s="5" t="s">
        <v>43</v>
      </c>
      <c r="F41" s="17">
        <v>90</v>
      </c>
      <c r="G41" s="17">
        <f>F41*17.19/90</f>
        <v>17.190000000000001</v>
      </c>
      <c r="H41" s="17">
        <f>F41*14.31/90</f>
        <v>14.31</v>
      </c>
      <c r="I41" s="17">
        <f>F41*0.18/90</f>
        <v>0.18</v>
      </c>
      <c r="J41" s="17">
        <f>F41*198/90</f>
        <v>198</v>
      </c>
      <c r="K41" s="19">
        <v>4232</v>
      </c>
      <c r="L41" s="22">
        <v>58.49</v>
      </c>
      <c r="M41" s="77"/>
      <c r="N41" s="77"/>
    </row>
    <row r="42" spans="1:14" ht="22.5" customHeight="1">
      <c r="A42" s="74"/>
      <c r="B42" s="75"/>
      <c r="C42" s="76"/>
      <c r="D42" s="78" t="s">
        <v>32</v>
      </c>
      <c r="E42" s="4" t="s">
        <v>33</v>
      </c>
      <c r="F42" s="15">
        <v>150</v>
      </c>
      <c r="G42" s="17">
        <f>F42*5.33/150</f>
        <v>5.33</v>
      </c>
      <c r="H42" s="17">
        <f>F42*3/150</f>
        <v>3</v>
      </c>
      <c r="I42" s="17">
        <f>F42*32.4/150</f>
        <v>32.4</v>
      </c>
      <c r="J42" s="17">
        <f>177.75*F42/150</f>
        <v>177.75</v>
      </c>
      <c r="K42" s="52">
        <v>46.3</v>
      </c>
      <c r="L42" s="22">
        <v>9.91</v>
      </c>
      <c r="M42" s="77"/>
      <c r="N42" s="77"/>
    </row>
    <row r="43" spans="1:14" ht="22.5" customHeight="1">
      <c r="A43" s="74"/>
      <c r="B43" s="75"/>
      <c r="C43" s="76"/>
      <c r="D43" s="76" t="s">
        <v>23</v>
      </c>
      <c r="E43" s="4" t="s">
        <v>90</v>
      </c>
      <c r="F43" s="17">
        <v>200</v>
      </c>
      <c r="G43" s="17">
        <v>3.6</v>
      </c>
      <c r="H43" s="17">
        <v>3.3</v>
      </c>
      <c r="I43" s="17">
        <v>22.8</v>
      </c>
      <c r="J43" s="17">
        <v>135</v>
      </c>
      <c r="K43" s="19" t="s">
        <v>52</v>
      </c>
      <c r="L43" s="22">
        <v>23.46</v>
      </c>
      <c r="M43" s="77"/>
      <c r="N43" s="77"/>
    </row>
    <row r="44" spans="1:14" ht="30" customHeight="1">
      <c r="A44" s="74"/>
      <c r="B44" s="75"/>
      <c r="C44" s="76"/>
      <c r="D44" s="76" t="s">
        <v>35</v>
      </c>
      <c r="E44" s="4" t="s">
        <v>36</v>
      </c>
      <c r="F44" s="17">
        <v>30</v>
      </c>
      <c r="G44" s="17">
        <f>SUM(F44*2.37/30)</f>
        <v>2.37</v>
      </c>
      <c r="H44" s="17">
        <f>SUM(F44*0.3/30)</f>
        <v>0.3</v>
      </c>
      <c r="I44" s="17">
        <f>SUM(F44*14.49/30)</f>
        <v>14.49</v>
      </c>
      <c r="J44" s="17">
        <f>SUM(F44*70.14/30)</f>
        <v>70.14</v>
      </c>
      <c r="K44" s="52" t="s">
        <v>25</v>
      </c>
      <c r="L44" s="22">
        <v>3.19</v>
      </c>
      <c r="M44" s="77"/>
      <c r="N44" s="77"/>
    </row>
    <row r="45" spans="1:14" ht="22.5" customHeight="1">
      <c r="A45" s="74"/>
      <c r="B45" s="75"/>
      <c r="C45" s="76"/>
      <c r="D45" s="76" t="s">
        <v>37</v>
      </c>
      <c r="E45" s="4" t="s">
        <v>123</v>
      </c>
      <c r="F45" s="17">
        <v>35</v>
      </c>
      <c r="G45" s="17">
        <f>SUM(F45*1.68/30)</f>
        <v>1.96</v>
      </c>
      <c r="H45" s="17">
        <f>SUM(F45*0.33/30)</f>
        <v>0.38500000000000001</v>
      </c>
      <c r="I45" s="17">
        <f>SUM(F45*14.82/30)</f>
        <v>17.290000000000003</v>
      </c>
      <c r="J45" s="17">
        <f>SUM(F45*68.97/30)</f>
        <v>80.464999999999989</v>
      </c>
      <c r="K45" s="52" t="s">
        <v>25</v>
      </c>
      <c r="L45" s="22">
        <v>3.44</v>
      </c>
      <c r="M45" s="77"/>
      <c r="N45" s="77"/>
    </row>
    <row r="46" spans="1:14" ht="37.5" customHeight="1">
      <c r="A46" s="74"/>
      <c r="B46" s="75"/>
      <c r="C46" s="76"/>
      <c r="D46" s="78"/>
      <c r="E46" s="90" t="s">
        <v>148</v>
      </c>
      <c r="F46" s="20">
        <v>50</v>
      </c>
      <c r="G46" s="20">
        <f>F46*1.3/100</f>
        <v>0.65</v>
      </c>
      <c r="H46" s="20">
        <f>F46*6.1/100</f>
        <v>3.05</v>
      </c>
      <c r="I46" s="20">
        <f>F46*4.1/100</f>
        <v>2.0499999999999998</v>
      </c>
      <c r="J46" s="20">
        <f>F46*82/100</f>
        <v>41</v>
      </c>
      <c r="K46" s="55" t="s">
        <v>139</v>
      </c>
      <c r="L46" s="56">
        <v>26.55</v>
      </c>
      <c r="M46" s="77"/>
      <c r="N46" s="77"/>
    </row>
    <row r="47" spans="1:14" ht="22.5" customHeight="1">
      <c r="A47" s="81"/>
      <c r="B47" s="82"/>
      <c r="C47" s="83"/>
      <c r="D47" s="84" t="s">
        <v>27</v>
      </c>
      <c r="E47" s="85"/>
      <c r="F47" s="86">
        <f>SUM(F41:F46)</f>
        <v>555</v>
      </c>
      <c r="G47" s="86">
        <f>SUM(G41:G46)</f>
        <v>31.100000000000005</v>
      </c>
      <c r="H47" s="86">
        <f>SUM(H41:H46)</f>
        <v>24.345000000000006</v>
      </c>
      <c r="I47" s="86">
        <f>SUM(I41:I46)</f>
        <v>89.21</v>
      </c>
      <c r="J47" s="86">
        <f>SUM(J41:J46)</f>
        <v>702.35500000000002</v>
      </c>
      <c r="K47" s="53"/>
      <c r="L47" s="54">
        <f>SUM(L41:L46)</f>
        <v>125.04</v>
      </c>
      <c r="M47" s="77"/>
    </row>
    <row r="48" spans="1:14" ht="46.5" customHeight="1">
      <c r="A48" s="74">
        <v>1</v>
      </c>
      <c r="B48" s="75">
        <v>3</v>
      </c>
      <c r="C48" s="76" t="s">
        <v>28</v>
      </c>
      <c r="D48" s="76" t="s">
        <v>29</v>
      </c>
      <c r="E48" s="14" t="s">
        <v>151</v>
      </c>
      <c r="F48" s="16">
        <v>65</v>
      </c>
      <c r="G48" s="16">
        <f>F48*3.24/60</f>
        <v>3.5100000000000002</v>
      </c>
      <c r="H48" s="16">
        <f>F48*7.74/60</f>
        <v>8.3849999999999998</v>
      </c>
      <c r="I48" s="16">
        <f>F48*25.26/60</f>
        <v>27.365000000000002</v>
      </c>
      <c r="J48" s="16">
        <f>F48*183.84/60</f>
        <v>199.16</v>
      </c>
      <c r="K48" s="52" t="s">
        <v>91</v>
      </c>
      <c r="L48" s="22">
        <v>12.73</v>
      </c>
      <c r="M48" s="77"/>
    </row>
    <row r="49" spans="1:13" ht="32.25" customHeight="1">
      <c r="A49" s="74"/>
      <c r="B49" s="75"/>
      <c r="C49" s="76"/>
      <c r="D49" s="76" t="s">
        <v>30</v>
      </c>
      <c r="E49" s="12" t="s">
        <v>45</v>
      </c>
      <c r="F49" s="16">
        <v>200</v>
      </c>
      <c r="G49" s="16">
        <f>F49*2.22/200</f>
        <v>2.2200000000000002</v>
      </c>
      <c r="H49" s="16">
        <f>F49*3.84/200</f>
        <v>3.84</v>
      </c>
      <c r="I49" s="16">
        <f>F49*6.68/200</f>
        <v>6.68</v>
      </c>
      <c r="J49" s="16">
        <f>F49*70/200</f>
        <v>70</v>
      </c>
      <c r="K49" s="19" t="s">
        <v>153</v>
      </c>
      <c r="L49" s="22">
        <v>27.45</v>
      </c>
      <c r="M49" s="77"/>
    </row>
    <row r="50" spans="1:13" ht="22.5" customHeight="1">
      <c r="A50" s="74"/>
      <c r="B50" s="75"/>
      <c r="C50" s="76"/>
      <c r="D50" s="76" t="s">
        <v>31</v>
      </c>
      <c r="E50" s="13" t="s">
        <v>86</v>
      </c>
      <c r="F50" s="17">
        <v>90</v>
      </c>
      <c r="G50" s="17">
        <f>F50*11.61/90</f>
        <v>11.609999999999998</v>
      </c>
      <c r="H50" s="17">
        <f>F50*12.06/90</f>
        <v>12.06</v>
      </c>
      <c r="I50" s="17">
        <f>F50*13.14/90</f>
        <v>13.140000000000002</v>
      </c>
      <c r="J50" s="17">
        <f>F50*207.54/90</f>
        <v>207.54</v>
      </c>
      <c r="K50" s="52" t="s">
        <v>130</v>
      </c>
      <c r="L50" s="22">
        <v>67.72</v>
      </c>
      <c r="M50" s="77"/>
    </row>
    <row r="51" spans="1:13" ht="22.5" customHeight="1">
      <c r="A51" s="74"/>
      <c r="B51" s="75"/>
      <c r="C51" s="76"/>
      <c r="D51" s="76" t="s">
        <v>32</v>
      </c>
      <c r="E51" s="12" t="s">
        <v>122</v>
      </c>
      <c r="F51" s="17">
        <v>150</v>
      </c>
      <c r="G51" s="17">
        <f>F51*3.25/150</f>
        <v>3.25</v>
      </c>
      <c r="H51" s="17">
        <f>F51*2.8/150</f>
        <v>2.8</v>
      </c>
      <c r="I51" s="17">
        <f>F51*11.9/150</f>
        <v>11.9</v>
      </c>
      <c r="J51" s="17">
        <f>F51*87/150</f>
        <v>87</v>
      </c>
      <c r="K51" s="19">
        <v>44533</v>
      </c>
      <c r="L51" s="22">
        <v>17.170000000000002</v>
      </c>
      <c r="M51" s="77"/>
    </row>
    <row r="52" spans="1:13" ht="22.5" customHeight="1">
      <c r="A52" s="74"/>
      <c r="B52" s="75"/>
      <c r="C52" s="76"/>
      <c r="D52" s="76" t="s">
        <v>85</v>
      </c>
      <c r="E52" s="12" t="s">
        <v>41</v>
      </c>
      <c r="F52" s="16">
        <v>200</v>
      </c>
      <c r="G52" s="16">
        <v>0</v>
      </c>
      <c r="H52" s="16">
        <v>0</v>
      </c>
      <c r="I52" s="16">
        <v>12</v>
      </c>
      <c r="J52" s="16">
        <v>48</v>
      </c>
      <c r="K52" s="52" t="s">
        <v>154</v>
      </c>
      <c r="L52" s="22">
        <v>12.58</v>
      </c>
      <c r="M52" s="77"/>
    </row>
    <row r="53" spans="1:13" ht="32.25" customHeight="1">
      <c r="A53" s="74"/>
      <c r="B53" s="75"/>
      <c r="C53" s="76"/>
      <c r="D53" s="76" t="s">
        <v>35</v>
      </c>
      <c r="E53" s="4" t="s">
        <v>36</v>
      </c>
      <c r="F53" s="17">
        <v>40</v>
      </c>
      <c r="G53" s="17">
        <f>SUM(F53*3.16/40)</f>
        <v>3.16</v>
      </c>
      <c r="H53" s="17">
        <f>SUM(F53*0.4/40)</f>
        <v>0.4</v>
      </c>
      <c r="I53" s="17">
        <f>SUM(F53*19.32/40)</f>
        <v>19.32</v>
      </c>
      <c r="J53" s="17">
        <f>SUM(F53*93.52/40)</f>
        <v>93.52</v>
      </c>
      <c r="K53" s="52" t="s">
        <v>25</v>
      </c>
      <c r="L53" s="22">
        <v>4.25</v>
      </c>
      <c r="M53" s="77"/>
    </row>
    <row r="54" spans="1:13" ht="22.5" customHeight="1">
      <c r="A54" s="74"/>
      <c r="B54" s="75"/>
      <c r="C54" s="76"/>
      <c r="D54" s="76" t="s">
        <v>37</v>
      </c>
      <c r="E54" s="13" t="s">
        <v>123</v>
      </c>
      <c r="F54" s="17">
        <v>32</v>
      </c>
      <c r="G54" s="17">
        <f>SUM(F54*1.68/30)</f>
        <v>1.792</v>
      </c>
      <c r="H54" s="17">
        <f>SUM(F54*0.33/30)</f>
        <v>0.35200000000000004</v>
      </c>
      <c r="I54" s="17">
        <f>SUM(F54*14.82/30)</f>
        <v>15.808</v>
      </c>
      <c r="J54" s="17">
        <f>SUM(F54*68.97/30)</f>
        <v>73.567999999999998</v>
      </c>
      <c r="K54" s="52" t="s">
        <v>25</v>
      </c>
      <c r="L54" s="22">
        <v>3.15</v>
      </c>
      <c r="M54" s="77"/>
    </row>
    <row r="55" spans="1:13" ht="22.5" customHeight="1">
      <c r="A55" s="74"/>
      <c r="B55" s="75"/>
      <c r="C55" s="76"/>
      <c r="D55" s="78"/>
      <c r="E55" s="79"/>
      <c r="F55" s="89"/>
      <c r="G55" s="89"/>
      <c r="H55" s="89"/>
      <c r="I55" s="89"/>
      <c r="J55" s="89"/>
      <c r="K55" s="52"/>
      <c r="L55" s="22"/>
      <c r="M55" s="77"/>
    </row>
    <row r="56" spans="1:13" ht="22.5" customHeight="1">
      <c r="A56" s="74"/>
      <c r="B56" s="75"/>
      <c r="C56" s="76"/>
      <c r="D56" s="78"/>
      <c r="E56" s="79"/>
      <c r="F56" s="88"/>
      <c r="G56" s="88"/>
      <c r="H56" s="88"/>
      <c r="I56" s="88"/>
      <c r="J56" s="88"/>
      <c r="K56" s="52"/>
      <c r="L56" s="22"/>
      <c r="M56" s="77"/>
    </row>
    <row r="57" spans="1:13" ht="22.5" customHeight="1">
      <c r="A57" s="81"/>
      <c r="B57" s="82"/>
      <c r="C57" s="83"/>
      <c r="D57" s="84" t="s">
        <v>27</v>
      </c>
      <c r="E57" s="85"/>
      <c r="F57" s="86">
        <f>SUM(F48:F56)</f>
        <v>777</v>
      </c>
      <c r="G57" s="86">
        <f>SUM(G48:G56)</f>
        <v>25.541999999999998</v>
      </c>
      <c r="H57" s="86">
        <f>SUM(H48:H56)-0.01</f>
        <v>27.826999999999998</v>
      </c>
      <c r="I57" s="86">
        <f>SUM(I48:I56)+0.01</f>
        <v>106.223</v>
      </c>
      <c r="J57" s="86">
        <f t="shared" ref="J57" si="2">SUM(J48:J56)</f>
        <v>778.7879999999999</v>
      </c>
      <c r="K57" s="53"/>
      <c r="L57" s="54">
        <f>SUM(L48:L56)</f>
        <v>145.05000000000001</v>
      </c>
      <c r="M57" s="77"/>
    </row>
    <row r="58" spans="1:13" ht="22.5" customHeight="1">
      <c r="A58" s="81">
        <f>A41</f>
        <v>1</v>
      </c>
      <c r="B58" s="82">
        <f>B41</f>
        <v>3</v>
      </c>
      <c r="C58" s="108" t="s">
        <v>38</v>
      </c>
      <c r="D58" s="109"/>
      <c r="E58" s="85"/>
      <c r="F58" s="86">
        <f>F47+F57</f>
        <v>1332</v>
      </c>
      <c r="G58" s="86">
        <f>G47+G57-0.01</f>
        <v>56.632000000000005</v>
      </c>
      <c r="H58" s="86">
        <f>H47+H57+0.01</f>
        <v>52.182000000000002</v>
      </c>
      <c r="I58" s="86">
        <f>I47+I57</f>
        <v>195.43299999999999</v>
      </c>
      <c r="J58" s="86">
        <f t="shared" ref="J58:L58" si="3">J47+J57</f>
        <v>1481.143</v>
      </c>
      <c r="K58" s="53"/>
      <c r="L58" s="54">
        <f t="shared" si="3"/>
        <v>270.09000000000003</v>
      </c>
      <c r="M58" s="77"/>
    </row>
    <row r="59" spans="1:13" ht="22.5" customHeight="1">
      <c r="A59" s="74">
        <v>1</v>
      </c>
      <c r="B59" s="75">
        <v>4</v>
      </c>
      <c r="C59" s="76" t="s">
        <v>21</v>
      </c>
      <c r="D59" s="76" t="s">
        <v>22</v>
      </c>
      <c r="E59" s="13" t="s">
        <v>92</v>
      </c>
      <c r="F59" s="16">
        <v>215</v>
      </c>
      <c r="G59" s="16">
        <f>F59*15.7/200</f>
        <v>16.877500000000001</v>
      </c>
      <c r="H59" s="16">
        <f>F59*15.7/200</f>
        <v>16.877500000000001</v>
      </c>
      <c r="I59" s="16">
        <f>F59*19.8/200</f>
        <v>21.285</v>
      </c>
      <c r="J59" s="16">
        <f>F59*283.3/200</f>
        <v>304.54750000000001</v>
      </c>
      <c r="K59" s="52">
        <v>44263</v>
      </c>
      <c r="L59" s="22">
        <v>92.47</v>
      </c>
      <c r="M59" s="77"/>
    </row>
    <row r="60" spans="1:13" ht="22.5" customHeight="1">
      <c r="A60" s="74"/>
      <c r="B60" s="75"/>
      <c r="C60" s="76"/>
      <c r="D60" s="76" t="s">
        <v>23</v>
      </c>
      <c r="E60" s="13" t="s">
        <v>93</v>
      </c>
      <c r="F60" s="16">
        <v>200</v>
      </c>
      <c r="G60" s="16">
        <v>0.1</v>
      </c>
      <c r="H60" s="16">
        <v>0</v>
      </c>
      <c r="I60" s="16">
        <v>9.9</v>
      </c>
      <c r="J60" s="16">
        <v>40</v>
      </c>
      <c r="K60" s="52" t="s">
        <v>157</v>
      </c>
      <c r="L60" s="22">
        <v>7.24</v>
      </c>
      <c r="M60" s="77"/>
    </row>
    <row r="61" spans="1:13" ht="30" customHeight="1">
      <c r="A61" s="74"/>
      <c r="B61" s="75"/>
      <c r="C61" s="76"/>
      <c r="D61" s="76" t="s">
        <v>35</v>
      </c>
      <c r="E61" s="4" t="s">
        <v>36</v>
      </c>
      <c r="F61" s="17">
        <v>50</v>
      </c>
      <c r="G61" s="17">
        <f>SUM(F61*3.95/50)</f>
        <v>3.95</v>
      </c>
      <c r="H61" s="17">
        <f>SUM(F61*0.5/50)</f>
        <v>0.5</v>
      </c>
      <c r="I61" s="17">
        <f>SUM(F61*24.15/50)</f>
        <v>24.15</v>
      </c>
      <c r="J61" s="17">
        <f>SUM(F61*116.9/50)</f>
        <v>116.9</v>
      </c>
      <c r="K61" s="55" t="s">
        <v>25</v>
      </c>
      <c r="L61" s="22">
        <v>5.32</v>
      </c>
      <c r="M61" s="77"/>
    </row>
    <row r="62" spans="1:13" ht="22.5" customHeight="1">
      <c r="A62" s="74"/>
      <c r="B62" s="75"/>
      <c r="C62" s="76"/>
      <c r="D62" s="76" t="s">
        <v>37</v>
      </c>
      <c r="E62" s="13" t="s">
        <v>123</v>
      </c>
      <c r="F62" s="17">
        <v>50</v>
      </c>
      <c r="G62" s="17">
        <f>SUM(F62*2.8/50)</f>
        <v>2.8</v>
      </c>
      <c r="H62" s="17">
        <f>SUM(F62*0.55/50)</f>
        <v>0.55000000000000004</v>
      </c>
      <c r="I62" s="17">
        <f>SUM(F62*24.7/50)</f>
        <v>24.7</v>
      </c>
      <c r="J62" s="17">
        <f>SUM(F62*114.95/50)</f>
        <v>114.95</v>
      </c>
      <c r="K62" s="55" t="s">
        <v>25</v>
      </c>
      <c r="L62" s="22">
        <v>4.92</v>
      </c>
      <c r="M62" s="77"/>
    </row>
    <row r="63" spans="1:13" ht="22.5" customHeight="1">
      <c r="A63" s="74"/>
      <c r="B63" s="75"/>
      <c r="C63" s="76"/>
      <c r="D63" s="76"/>
      <c r="E63" s="57" t="s">
        <v>143</v>
      </c>
      <c r="F63" s="31">
        <v>31</v>
      </c>
      <c r="G63" s="31">
        <f>F63*1/100</f>
        <v>0.31</v>
      </c>
      <c r="H63" s="31">
        <f>F63*0.2/100</f>
        <v>6.2E-2</v>
      </c>
      <c r="I63" s="31">
        <f>F63*3.8/100</f>
        <v>1.1779999999999999</v>
      </c>
      <c r="J63" s="31">
        <f>F63*124/100</f>
        <v>38.44</v>
      </c>
      <c r="K63" s="58" t="s">
        <v>144</v>
      </c>
      <c r="L63" s="22">
        <v>15.09</v>
      </c>
      <c r="M63" s="77"/>
    </row>
    <row r="64" spans="1:13" ht="22.5" customHeight="1">
      <c r="A64" s="74"/>
      <c r="B64" s="75"/>
      <c r="C64" s="76"/>
      <c r="D64" s="78"/>
      <c r="E64" s="4"/>
      <c r="F64" s="3"/>
      <c r="G64" s="3"/>
      <c r="H64" s="3"/>
      <c r="I64" s="3"/>
      <c r="J64" s="3"/>
      <c r="K64" s="55"/>
      <c r="L64" s="22"/>
      <c r="M64" s="77"/>
    </row>
    <row r="65" spans="1:13" ht="22.5" customHeight="1">
      <c r="A65" s="74"/>
      <c r="B65" s="75"/>
      <c r="C65" s="76"/>
      <c r="D65" s="78"/>
      <c r="E65" s="79"/>
      <c r="F65" s="88"/>
      <c r="G65" s="88"/>
      <c r="H65" s="88"/>
      <c r="I65" s="88"/>
      <c r="J65" s="88"/>
      <c r="K65" s="52"/>
      <c r="L65" s="22"/>
      <c r="M65" s="77"/>
    </row>
    <row r="66" spans="1:13" ht="22.5" customHeight="1">
      <c r="A66" s="81"/>
      <c r="B66" s="82"/>
      <c r="C66" s="83"/>
      <c r="D66" s="84" t="s">
        <v>27</v>
      </c>
      <c r="E66" s="85"/>
      <c r="F66" s="86">
        <f>SUM(F59:F65)</f>
        <v>546</v>
      </c>
      <c r="G66" s="86">
        <f t="shared" ref="G66" si="4">SUM(G59:G65)</f>
        <v>24.037500000000001</v>
      </c>
      <c r="H66" s="86">
        <f t="shared" ref="H66" si="5">SUM(H59:H65)</f>
        <v>17.989500000000003</v>
      </c>
      <c r="I66" s="86">
        <f t="shared" ref="I66" si="6">SUM(I59:I65)</f>
        <v>81.212999999999994</v>
      </c>
      <c r="J66" s="86">
        <f t="shared" ref="J66" si="7">SUM(J59:J65)</f>
        <v>614.83750000000009</v>
      </c>
      <c r="K66" s="53"/>
      <c r="L66" s="54">
        <f>SUM(L59:L65)</f>
        <v>125.04</v>
      </c>
      <c r="M66" s="77"/>
    </row>
    <row r="67" spans="1:13" ht="45.75" customHeight="1">
      <c r="A67" s="74">
        <f>A59</f>
        <v>1</v>
      </c>
      <c r="B67" s="75">
        <f>B59</f>
        <v>4</v>
      </c>
      <c r="C67" s="76" t="s">
        <v>28</v>
      </c>
      <c r="D67" s="76" t="s">
        <v>29</v>
      </c>
      <c r="E67" s="13" t="s">
        <v>145</v>
      </c>
      <c r="F67" s="16">
        <v>70</v>
      </c>
      <c r="G67" s="16">
        <f>F67*1.02/60</f>
        <v>1.1900000000000002</v>
      </c>
      <c r="H67" s="16">
        <f>F67*3.6/60</f>
        <v>4.2</v>
      </c>
      <c r="I67" s="16">
        <f>4.74*F67/60</f>
        <v>5.53</v>
      </c>
      <c r="J67" s="16">
        <f>F67*55.44/60</f>
        <v>64.679999999999993</v>
      </c>
      <c r="K67" s="52" t="s">
        <v>124</v>
      </c>
      <c r="L67" s="22">
        <v>10.51</v>
      </c>
      <c r="M67" s="77"/>
    </row>
    <row r="68" spans="1:13" ht="30" customHeight="1">
      <c r="A68" s="74"/>
      <c r="B68" s="75"/>
      <c r="C68" s="76"/>
      <c r="D68" s="76" t="s">
        <v>30</v>
      </c>
      <c r="E68" s="5" t="s">
        <v>159</v>
      </c>
      <c r="F68" s="17">
        <v>200</v>
      </c>
      <c r="G68" s="17">
        <f>F68*7.76/200</f>
        <v>7.76</v>
      </c>
      <c r="H68" s="17">
        <f>F68*3.84/200</f>
        <v>3.84</v>
      </c>
      <c r="I68" s="17">
        <f>F68*10.48/200</f>
        <v>10.48</v>
      </c>
      <c r="J68" s="17">
        <f>F68*106.4/200</f>
        <v>106.4</v>
      </c>
      <c r="K68" s="19" t="s">
        <v>128</v>
      </c>
      <c r="L68" s="22">
        <v>30.98</v>
      </c>
      <c r="M68" s="77"/>
    </row>
    <row r="69" spans="1:13" ht="22.5" customHeight="1">
      <c r="A69" s="74"/>
      <c r="B69" s="75"/>
      <c r="C69" s="76"/>
      <c r="D69" s="76" t="s">
        <v>31</v>
      </c>
      <c r="E69" s="4" t="s">
        <v>40</v>
      </c>
      <c r="F69" s="17">
        <v>100</v>
      </c>
      <c r="G69" s="17">
        <f>F69*13.32/90</f>
        <v>14.8</v>
      </c>
      <c r="H69" s="17">
        <f>F69*11.16/90</f>
        <v>12.4</v>
      </c>
      <c r="I69" s="17">
        <f>F69*8.19/90</f>
        <v>9.1</v>
      </c>
      <c r="J69" s="17">
        <f>F69*186.3/90</f>
        <v>207</v>
      </c>
      <c r="K69" s="52">
        <v>44325</v>
      </c>
      <c r="L69" s="22">
        <v>68.73</v>
      </c>
      <c r="M69" s="77"/>
    </row>
    <row r="70" spans="1:13" ht="22.5" customHeight="1">
      <c r="A70" s="74"/>
      <c r="B70" s="75"/>
      <c r="C70" s="76"/>
      <c r="D70" s="76" t="s">
        <v>32</v>
      </c>
      <c r="E70" s="5" t="s">
        <v>46</v>
      </c>
      <c r="F70" s="17">
        <v>150</v>
      </c>
      <c r="G70" s="17">
        <f>F70*6.63/150</f>
        <v>6.63</v>
      </c>
      <c r="H70" s="17">
        <f>F70*4.44/150</f>
        <v>4.4400000000000004</v>
      </c>
      <c r="I70" s="17">
        <f>F70*28.8/150</f>
        <v>28.8</v>
      </c>
      <c r="J70" s="17">
        <f>F70*181.5/150</f>
        <v>181.5</v>
      </c>
      <c r="K70" s="19" t="s">
        <v>158</v>
      </c>
      <c r="L70" s="22">
        <v>10.11</v>
      </c>
      <c r="M70" s="77"/>
    </row>
    <row r="71" spans="1:13" ht="22.5" customHeight="1">
      <c r="A71" s="74"/>
      <c r="B71" s="75"/>
      <c r="C71" s="76"/>
      <c r="D71" s="76" t="s">
        <v>85</v>
      </c>
      <c r="E71" s="4" t="s">
        <v>49</v>
      </c>
      <c r="F71" s="17">
        <v>200</v>
      </c>
      <c r="G71" s="17">
        <v>0.2</v>
      </c>
      <c r="H71" s="17">
        <v>0.2</v>
      </c>
      <c r="I71" s="17">
        <v>16.8</v>
      </c>
      <c r="J71" s="17">
        <v>70</v>
      </c>
      <c r="K71" s="19">
        <v>44296</v>
      </c>
      <c r="L71" s="22">
        <v>16.93</v>
      </c>
      <c r="M71" s="77"/>
    </row>
    <row r="72" spans="1:13" ht="29.25" customHeight="1">
      <c r="A72" s="74"/>
      <c r="B72" s="75"/>
      <c r="C72" s="76"/>
      <c r="D72" s="76" t="s">
        <v>35</v>
      </c>
      <c r="E72" s="4" t="s">
        <v>36</v>
      </c>
      <c r="F72" s="17">
        <v>40</v>
      </c>
      <c r="G72" s="17">
        <f>SUM(F72*3.16/40)</f>
        <v>3.16</v>
      </c>
      <c r="H72" s="17">
        <f>SUM(F72*0.4/40)</f>
        <v>0.4</v>
      </c>
      <c r="I72" s="17">
        <f>SUM(F72*19.32/40)</f>
        <v>19.32</v>
      </c>
      <c r="J72" s="17">
        <f>SUM(F72*93.52/40)</f>
        <v>93.52</v>
      </c>
      <c r="K72" s="52" t="s">
        <v>25</v>
      </c>
      <c r="L72" s="22">
        <v>4.25</v>
      </c>
      <c r="M72" s="77"/>
    </row>
    <row r="73" spans="1:13" ht="22.5" customHeight="1">
      <c r="A73" s="74"/>
      <c r="B73" s="75"/>
      <c r="C73" s="76"/>
      <c r="D73" s="76" t="s">
        <v>37</v>
      </c>
      <c r="E73" s="4" t="s">
        <v>123</v>
      </c>
      <c r="F73" s="17">
        <v>36</v>
      </c>
      <c r="G73" s="17">
        <f>SUM(F73*1.68/30)</f>
        <v>2.016</v>
      </c>
      <c r="H73" s="17">
        <f>SUM(F73*0.33/30)</f>
        <v>0.39600000000000002</v>
      </c>
      <c r="I73" s="17">
        <f>SUM(F73*14.82/30)</f>
        <v>17.783999999999999</v>
      </c>
      <c r="J73" s="17">
        <f>SUM(F73*68.97/30)</f>
        <v>82.763999999999996</v>
      </c>
      <c r="K73" s="52" t="s">
        <v>25</v>
      </c>
      <c r="L73" s="22">
        <v>3.54</v>
      </c>
      <c r="M73" s="77"/>
    </row>
    <row r="74" spans="1:13" ht="22.5" customHeight="1">
      <c r="A74" s="74"/>
      <c r="B74" s="75"/>
      <c r="C74" s="76"/>
      <c r="D74" s="78"/>
      <c r="E74" s="79"/>
      <c r="F74" s="89"/>
      <c r="G74" s="89"/>
      <c r="H74" s="89"/>
      <c r="I74" s="89"/>
      <c r="J74" s="89"/>
      <c r="K74" s="52"/>
      <c r="L74" s="22"/>
      <c r="M74" s="77"/>
    </row>
    <row r="75" spans="1:13" ht="22.5" customHeight="1">
      <c r="A75" s="74"/>
      <c r="B75" s="75"/>
      <c r="C75" s="76"/>
      <c r="D75" s="78"/>
      <c r="E75" s="79"/>
      <c r="F75" s="88"/>
      <c r="G75" s="88"/>
      <c r="H75" s="88"/>
      <c r="I75" s="88"/>
      <c r="J75" s="88"/>
      <c r="K75" s="52"/>
      <c r="L75" s="22"/>
      <c r="M75" s="77"/>
    </row>
    <row r="76" spans="1:13" ht="22.5" customHeight="1">
      <c r="A76" s="81"/>
      <c r="B76" s="82"/>
      <c r="C76" s="83"/>
      <c r="D76" s="84" t="s">
        <v>27</v>
      </c>
      <c r="E76" s="85"/>
      <c r="F76" s="86">
        <f>SUM(F67:F75)</f>
        <v>796</v>
      </c>
      <c r="G76" s="86">
        <f t="shared" ref="G76" si="8">SUM(G67:G75)</f>
        <v>35.755999999999993</v>
      </c>
      <c r="H76" s="86">
        <f t="shared" ref="H76" si="9">SUM(H67:H75)</f>
        <v>25.875999999999998</v>
      </c>
      <c r="I76" s="86">
        <f t="shared" ref="I76" si="10">SUM(I67:I75)</f>
        <v>107.81399999999999</v>
      </c>
      <c r="J76" s="86">
        <f t="shared" ref="J76" si="11">SUM(J67:J75)</f>
        <v>805.86399999999992</v>
      </c>
      <c r="K76" s="53"/>
      <c r="L76" s="54">
        <f>SUM(L67:L75)</f>
        <v>145.04999999999998</v>
      </c>
      <c r="M76" s="77"/>
    </row>
    <row r="77" spans="1:13" ht="22.5" customHeight="1">
      <c r="A77" s="81">
        <f>A59</f>
        <v>1</v>
      </c>
      <c r="B77" s="82">
        <f>B59</f>
        <v>4</v>
      </c>
      <c r="C77" s="108" t="s">
        <v>38</v>
      </c>
      <c r="D77" s="109"/>
      <c r="E77" s="85"/>
      <c r="F77" s="86">
        <f>F66+F76</f>
        <v>1342</v>
      </c>
      <c r="G77" s="86">
        <f t="shared" ref="G77" si="12">G66+G76</f>
        <v>59.793499999999995</v>
      </c>
      <c r="H77" s="86">
        <f t="shared" ref="H77" si="13">H66+H76</f>
        <v>43.865499999999997</v>
      </c>
      <c r="I77" s="86">
        <f t="shared" ref="I77" si="14">I66+I76</f>
        <v>189.02699999999999</v>
      </c>
      <c r="J77" s="86">
        <f t="shared" ref="J77" si="15">J66+J76</f>
        <v>1420.7015000000001</v>
      </c>
      <c r="K77" s="53"/>
      <c r="L77" s="54">
        <f>L66+L76</f>
        <v>270.08999999999997</v>
      </c>
      <c r="M77" s="77"/>
    </row>
    <row r="78" spans="1:13" ht="22.5" customHeight="1">
      <c r="A78" s="74">
        <v>1</v>
      </c>
      <c r="B78" s="75">
        <v>5</v>
      </c>
      <c r="C78" s="76" t="s">
        <v>21</v>
      </c>
      <c r="D78" s="76" t="s">
        <v>22</v>
      </c>
      <c r="E78" s="12" t="s">
        <v>94</v>
      </c>
      <c r="F78" s="16">
        <v>200</v>
      </c>
      <c r="G78" s="16">
        <f>F78*19.5/200</f>
        <v>19.5</v>
      </c>
      <c r="H78" s="16">
        <f>F78*21.2/200</f>
        <v>21.2</v>
      </c>
      <c r="I78" s="16">
        <f>F78*17.7/200</f>
        <v>17.7</v>
      </c>
      <c r="J78" s="16">
        <f>F78*339.6/200</f>
        <v>339.6</v>
      </c>
      <c r="K78" s="19" t="s">
        <v>96</v>
      </c>
      <c r="L78" s="22">
        <v>82.51</v>
      </c>
      <c r="M78" s="77"/>
    </row>
    <row r="79" spans="1:13" ht="22.5" customHeight="1">
      <c r="A79" s="74"/>
      <c r="B79" s="75"/>
      <c r="C79" s="76"/>
      <c r="D79" s="76" t="s">
        <v>23</v>
      </c>
      <c r="E79" s="13" t="s">
        <v>95</v>
      </c>
      <c r="F79" s="13">
        <v>200</v>
      </c>
      <c r="G79" s="16">
        <v>0.1</v>
      </c>
      <c r="H79" s="16">
        <v>0</v>
      </c>
      <c r="I79" s="16">
        <v>9.8000000000000007</v>
      </c>
      <c r="J79" s="16">
        <v>39</v>
      </c>
      <c r="K79" s="19" t="s">
        <v>97</v>
      </c>
      <c r="L79" s="22">
        <v>3.17</v>
      </c>
      <c r="M79" s="77"/>
    </row>
    <row r="80" spans="1:13" ht="22.5" customHeight="1">
      <c r="A80" s="74"/>
      <c r="B80" s="75"/>
      <c r="C80" s="76"/>
      <c r="D80" s="76" t="s">
        <v>35</v>
      </c>
      <c r="E80" s="13" t="s">
        <v>26</v>
      </c>
      <c r="F80" s="15">
        <v>50</v>
      </c>
      <c r="G80" s="15">
        <f>F80*6.1/50</f>
        <v>6.1</v>
      </c>
      <c r="H80" s="15">
        <f>F80*3.7/50</f>
        <v>3.7</v>
      </c>
      <c r="I80" s="15">
        <f>F80*17.5/50</f>
        <v>17.5</v>
      </c>
      <c r="J80" s="15">
        <f>F80*127.7/50</f>
        <v>127.7</v>
      </c>
      <c r="K80" s="19">
        <v>44240</v>
      </c>
      <c r="L80" s="22">
        <v>34.44</v>
      </c>
      <c r="M80" s="77"/>
    </row>
    <row r="81" spans="1:13" ht="22.5" customHeight="1">
      <c r="A81" s="74"/>
      <c r="B81" s="75"/>
      <c r="C81" s="76"/>
      <c r="D81" s="76" t="s">
        <v>37</v>
      </c>
      <c r="E81" s="4" t="s">
        <v>123</v>
      </c>
      <c r="F81" s="17">
        <v>50</v>
      </c>
      <c r="G81" s="17">
        <f>SUM(F81*2.8/50)</f>
        <v>2.8</v>
      </c>
      <c r="H81" s="17">
        <f>SUM(F81*0.55/50)</f>
        <v>0.55000000000000004</v>
      </c>
      <c r="I81" s="17">
        <f>SUM(F81*24.7/50)</f>
        <v>24.7</v>
      </c>
      <c r="J81" s="17">
        <f>SUM(F81*114.95/50)</f>
        <v>114.95</v>
      </c>
      <c r="K81" s="52" t="s">
        <v>25</v>
      </c>
      <c r="L81" s="22">
        <v>4.92</v>
      </c>
      <c r="M81" s="77"/>
    </row>
    <row r="82" spans="1:13" ht="22.5" customHeight="1">
      <c r="A82" s="74"/>
      <c r="B82" s="75"/>
      <c r="C82" s="76"/>
      <c r="D82" s="76"/>
      <c r="E82" s="4"/>
      <c r="F82" s="3"/>
      <c r="G82" s="3"/>
      <c r="H82" s="3"/>
      <c r="I82" s="3"/>
      <c r="J82" s="3"/>
      <c r="K82" s="52"/>
      <c r="L82" s="22"/>
      <c r="M82" s="77"/>
    </row>
    <row r="83" spans="1:13" ht="22.5" customHeight="1">
      <c r="A83" s="81"/>
      <c r="B83" s="82"/>
      <c r="C83" s="83"/>
      <c r="D83" s="84" t="s">
        <v>27</v>
      </c>
      <c r="E83" s="85"/>
      <c r="F83" s="86">
        <f>SUM(F78:F82)</f>
        <v>500</v>
      </c>
      <c r="G83" s="86">
        <f>SUM(G78:G82)</f>
        <v>28.500000000000004</v>
      </c>
      <c r="H83" s="86">
        <f>SUM(H78:H82)</f>
        <v>25.45</v>
      </c>
      <c r="I83" s="86">
        <f>SUM(I78:I82)</f>
        <v>69.7</v>
      </c>
      <c r="J83" s="86">
        <f>SUM(J78:J82)</f>
        <v>621.25</v>
      </c>
      <c r="K83" s="53"/>
      <c r="L83" s="54">
        <f>SUM(L78:L82)</f>
        <v>125.04</v>
      </c>
      <c r="M83" s="77"/>
    </row>
    <row r="84" spans="1:13" ht="36.75" customHeight="1">
      <c r="A84" s="74">
        <v>1</v>
      </c>
      <c r="B84" s="75">
        <v>5</v>
      </c>
      <c r="C84" s="76" t="s">
        <v>28</v>
      </c>
      <c r="D84" s="76" t="s">
        <v>29</v>
      </c>
      <c r="E84" s="13" t="s">
        <v>98</v>
      </c>
      <c r="F84" s="16">
        <v>60</v>
      </c>
      <c r="G84" s="16">
        <f>F84*0.9/60</f>
        <v>0.9</v>
      </c>
      <c r="H84" s="16">
        <f>F84*5.4/60</f>
        <v>5.4</v>
      </c>
      <c r="I84" s="16">
        <f>F84*11.34/60</f>
        <v>11.34</v>
      </c>
      <c r="J84" s="16">
        <f>F84*86.76/60</f>
        <v>86.76</v>
      </c>
      <c r="K84" s="52" t="s">
        <v>100</v>
      </c>
      <c r="L84" s="22">
        <v>8.35</v>
      </c>
      <c r="M84" s="77"/>
    </row>
    <row r="85" spans="1:13" ht="30.75" customHeight="1">
      <c r="A85" s="74"/>
      <c r="B85" s="75"/>
      <c r="C85" s="76"/>
      <c r="D85" s="76" t="s">
        <v>30</v>
      </c>
      <c r="E85" s="13" t="s">
        <v>126</v>
      </c>
      <c r="F85" s="16">
        <v>200</v>
      </c>
      <c r="G85" s="16">
        <f>F85*4.03/200</f>
        <v>4.03</v>
      </c>
      <c r="H85" s="16">
        <f>F85*7.52/200</f>
        <v>7.52</v>
      </c>
      <c r="I85" s="16">
        <f>F85*10.68/200</f>
        <v>10.68</v>
      </c>
      <c r="J85" s="16">
        <f>F85*126.85/200</f>
        <v>126.85</v>
      </c>
      <c r="K85" s="52" t="s">
        <v>101</v>
      </c>
      <c r="L85" s="22">
        <v>27.77</v>
      </c>
      <c r="M85" s="77"/>
    </row>
    <row r="86" spans="1:13" ht="22.5" customHeight="1">
      <c r="A86" s="74"/>
      <c r="B86" s="75"/>
      <c r="C86" s="76"/>
      <c r="D86" s="76" t="s">
        <v>31</v>
      </c>
      <c r="E86" s="13" t="s">
        <v>136</v>
      </c>
      <c r="F86" s="15">
        <v>90</v>
      </c>
      <c r="G86" s="17">
        <f>F86*11.7/90</f>
        <v>11.7</v>
      </c>
      <c r="H86" s="17">
        <f>F86*11.61/90</f>
        <v>11.609999999999998</v>
      </c>
      <c r="I86" s="17">
        <f>F86*5.76/90</f>
        <v>5.76</v>
      </c>
      <c r="J86" s="17">
        <f>F86*174.6/90</f>
        <v>174.6</v>
      </c>
      <c r="K86" s="52" t="s">
        <v>102</v>
      </c>
      <c r="L86" s="22">
        <v>68.66</v>
      </c>
      <c r="M86" s="77"/>
    </row>
    <row r="87" spans="1:13" ht="22.5" customHeight="1">
      <c r="A87" s="74"/>
      <c r="B87" s="75"/>
      <c r="C87" s="76"/>
      <c r="D87" s="76" t="s">
        <v>32</v>
      </c>
      <c r="E87" s="12" t="s">
        <v>51</v>
      </c>
      <c r="F87" s="17">
        <v>150</v>
      </c>
      <c r="G87" s="17">
        <f>F87*3.17/150</f>
        <v>3.17</v>
      </c>
      <c r="H87" s="17">
        <f>F87*3.6/150</f>
        <v>3.6</v>
      </c>
      <c r="I87" s="17">
        <f>F87*20.4/150</f>
        <v>20.399999999999999</v>
      </c>
      <c r="J87" s="17">
        <f>F87*128/150</f>
        <v>128</v>
      </c>
      <c r="K87" s="52">
        <v>44258</v>
      </c>
      <c r="L87" s="22">
        <v>23.13</v>
      </c>
      <c r="M87" s="77"/>
    </row>
    <row r="88" spans="1:13" ht="22.5" customHeight="1">
      <c r="A88" s="74"/>
      <c r="B88" s="75"/>
      <c r="C88" s="76"/>
      <c r="D88" s="76" t="s">
        <v>85</v>
      </c>
      <c r="E88" s="13" t="s">
        <v>54</v>
      </c>
      <c r="F88" s="16">
        <v>200</v>
      </c>
      <c r="G88" s="16">
        <v>0.2</v>
      </c>
      <c r="H88" s="16">
        <v>0.1</v>
      </c>
      <c r="I88" s="16">
        <v>13.1</v>
      </c>
      <c r="J88" s="16">
        <v>54</v>
      </c>
      <c r="K88" s="52" t="s">
        <v>55</v>
      </c>
      <c r="L88" s="22">
        <v>8.7799999999999994</v>
      </c>
      <c r="M88" s="77"/>
    </row>
    <row r="89" spans="1:13" ht="29.25" customHeight="1">
      <c r="A89" s="74"/>
      <c r="B89" s="75"/>
      <c r="C89" s="76"/>
      <c r="D89" s="76" t="s">
        <v>35</v>
      </c>
      <c r="E89" s="4" t="s">
        <v>36</v>
      </c>
      <c r="F89" s="17">
        <v>50</v>
      </c>
      <c r="G89" s="17">
        <f>SUM(F89*3.95/50)</f>
        <v>3.95</v>
      </c>
      <c r="H89" s="17">
        <f>SUM(F89*0.5/50)</f>
        <v>0.5</v>
      </c>
      <c r="I89" s="17">
        <f>SUM(F89*24.15/50)</f>
        <v>24.15</v>
      </c>
      <c r="J89" s="17">
        <f>SUM(F89*116.9/50)</f>
        <v>116.9</v>
      </c>
      <c r="K89" s="52" t="s">
        <v>25</v>
      </c>
      <c r="L89" s="22">
        <v>5.32</v>
      </c>
      <c r="M89" s="77"/>
    </row>
    <row r="90" spans="1:13" ht="22.5" customHeight="1">
      <c r="A90" s="74"/>
      <c r="B90" s="75"/>
      <c r="C90" s="76"/>
      <c r="D90" s="76" t="s">
        <v>37</v>
      </c>
      <c r="E90" s="13" t="s">
        <v>123</v>
      </c>
      <c r="F90" s="17">
        <v>31</v>
      </c>
      <c r="G90" s="17">
        <f>SUM(F90*1.68/30)</f>
        <v>1.736</v>
      </c>
      <c r="H90" s="17">
        <f>SUM(F90*0.33/30)</f>
        <v>0.34100000000000003</v>
      </c>
      <c r="I90" s="17">
        <f>SUM(F90*14.82/30)</f>
        <v>15.314</v>
      </c>
      <c r="J90" s="17">
        <f>SUM(F90*68.97/30)</f>
        <v>71.269000000000005</v>
      </c>
      <c r="K90" s="52" t="s">
        <v>25</v>
      </c>
      <c r="L90" s="22">
        <v>3.04</v>
      </c>
      <c r="M90" s="77"/>
    </row>
    <row r="91" spans="1:13" ht="22.5" customHeight="1">
      <c r="A91" s="74"/>
      <c r="B91" s="75"/>
      <c r="C91" s="76"/>
      <c r="D91" s="78"/>
      <c r="E91" s="79"/>
      <c r="F91" s="88"/>
      <c r="G91" s="88"/>
      <c r="H91" s="88"/>
      <c r="I91" s="88"/>
      <c r="J91" s="88"/>
      <c r="K91" s="52"/>
      <c r="L91" s="22"/>
      <c r="M91" s="77"/>
    </row>
    <row r="92" spans="1:13" ht="22.5" customHeight="1">
      <c r="A92" s="74"/>
      <c r="B92" s="75"/>
      <c r="C92" s="76"/>
      <c r="D92" s="78"/>
      <c r="E92" s="79"/>
      <c r="F92" s="88"/>
      <c r="G92" s="88"/>
      <c r="H92" s="88"/>
      <c r="I92" s="88"/>
      <c r="J92" s="88"/>
      <c r="K92" s="52"/>
      <c r="L92" s="22"/>
      <c r="M92" s="77"/>
    </row>
    <row r="93" spans="1:13" ht="22.5" customHeight="1">
      <c r="A93" s="81"/>
      <c r="B93" s="82"/>
      <c r="C93" s="83"/>
      <c r="D93" s="84" t="s">
        <v>27</v>
      </c>
      <c r="E93" s="85"/>
      <c r="F93" s="86">
        <f>SUM(F84:F92)</f>
        <v>781</v>
      </c>
      <c r="G93" s="86">
        <f>SUM(G84:G92)</f>
        <v>25.685999999999996</v>
      </c>
      <c r="H93" s="86">
        <f>SUM(H84:H92)+0.01</f>
        <v>29.081000000000003</v>
      </c>
      <c r="I93" s="86">
        <f t="shared" ref="I93" si="16">SUM(I84:I92)</f>
        <v>100.744</v>
      </c>
      <c r="J93" s="86">
        <f t="shared" ref="J93" si="17">SUM(J84:J92)</f>
        <v>758.37900000000002</v>
      </c>
      <c r="K93" s="53"/>
      <c r="L93" s="54">
        <f>SUM(L84:L92)</f>
        <v>145.04999999999998</v>
      </c>
      <c r="M93" s="77"/>
    </row>
    <row r="94" spans="1:13" ht="22.5" customHeight="1">
      <c r="A94" s="81">
        <f>A78</f>
        <v>1</v>
      </c>
      <c r="B94" s="82">
        <f>B78</f>
        <v>5</v>
      </c>
      <c r="C94" s="108" t="s">
        <v>38</v>
      </c>
      <c r="D94" s="109"/>
      <c r="E94" s="85"/>
      <c r="F94" s="86">
        <f>F83+F93</f>
        <v>1281</v>
      </c>
      <c r="G94" s="86">
        <f>G83+G93</f>
        <v>54.186</v>
      </c>
      <c r="H94" s="86">
        <f t="shared" ref="H94" si="18">H83+H93</f>
        <v>54.531000000000006</v>
      </c>
      <c r="I94" s="86">
        <f t="shared" ref="I94" si="19">I83+I93</f>
        <v>170.44400000000002</v>
      </c>
      <c r="J94" s="86">
        <f>J83+J93</f>
        <v>1379.6289999999999</v>
      </c>
      <c r="K94" s="53"/>
      <c r="L94" s="54">
        <f t="shared" ref="L94" si="20">L83+L93</f>
        <v>270.08999999999997</v>
      </c>
      <c r="M94" s="77"/>
    </row>
    <row r="95" spans="1:13" ht="30" customHeight="1">
      <c r="A95" s="74">
        <v>2</v>
      </c>
      <c r="B95" s="75">
        <v>1</v>
      </c>
      <c r="C95" s="76" t="s">
        <v>21</v>
      </c>
      <c r="D95" s="76" t="s">
        <v>22</v>
      </c>
      <c r="E95" s="13" t="s">
        <v>103</v>
      </c>
      <c r="F95" s="16">
        <v>200</v>
      </c>
      <c r="G95" s="16">
        <f>F95*5.5/200</f>
        <v>5.5</v>
      </c>
      <c r="H95" s="16">
        <f>F95*9.9/200</f>
        <v>9.9</v>
      </c>
      <c r="I95" s="16">
        <f>F95*39.26/200</f>
        <v>39.26</v>
      </c>
      <c r="J95" s="16">
        <f>F95*268.14/200</f>
        <v>268.14</v>
      </c>
      <c r="K95" s="52">
        <v>44443</v>
      </c>
      <c r="L95" s="22">
        <v>33.979999999999997</v>
      </c>
      <c r="M95" s="77"/>
    </row>
    <row r="96" spans="1:13" ht="22.5" customHeight="1">
      <c r="A96" s="74"/>
      <c r="B96" s="75"/>
      <c r="C96" s="76"/>
      <c r="D96" s="78" t="s">
        <v>161</v>
      </c>
      <c r="E96" s="13" t="s">
        <v>75</v>
      </c>
      <c r="F96" s="17">
        <v>100</v>
      </c>
      <c r="G96" s="17">
        <v>0.4</v>
      </c>
      <c r="H96" s="17">
        <v>0.4</v>
      </c>
      <c r="I96" s="17">
        <v>10.95</v>
      </c>
      <c r="J96" s="17">
        <v>49</v>
      </c>
      <c r="K96" s="52" t="s">
        <v>25</v>
      </c>
      <c r="L96" s="22">
        <v>30.76</v>
      </c>
      <c r="M96" s="77"/>
    </row>
    <row r="97" spans="1:13" ht="22.5" customHeight="1">
      <c r="A97" s="74"/>
      <c r="B97" s="75"/>
      <c r="C97" s="76"/>
      <c r="D97" s="76" t="s">
        <v>23</v>
      </c>
      <c r="E97" s="13" t="s">
        <v>24</v>
      </c>
      <c r="F97" s="16">
        <v>200</v>
      </c>
      <c r="G97" s="16">
        <v>3.1</v>
      </c>
      <c r="H97" s="16">
        <v>3.2</v>
      </c>
      <c r="I97" s="16">
        <v>14.4</v>
      </c>
      <c r="J97" s="16">
        <v>99</v>
      </c>
      <c r="K97" s="52" t="s">
        <v>57</v>
      </c>
      <c r="L97" s="22">
        <v>22.91</v>
      </c>
      <c r="M97" s="77"/>
    </row>
    <row r="98" spans="1:13" ht="22.5" customHeight="1">
      <c r="A98" s="74"/>
      <c r="B98" s="75"/>
      <c r="C98" s="76"/>
      <c r="D98" s="78" t="s">
        <v>35</v>
      </c>
      <c r="E98" s="13" t="s">
        <v>26</v>
      </c>
      <c r="F98" s="15">
        <v>50</v>
      </c>
      <c r="G98" s="15">
        <f>F98*6.1/50</f>
        <v>6.1</v>
      </c>
      <c r="H98" s="15">
        <f>F98*3.7/50</f>
        <v>3.7</v>
      </c>
      <c r="I98" s="15">
        <f>F98*17.5/50</f>
        <v>17.5</v>
      </c>
      <c r="J98" s="15">
        <f>F98*127.7/50</f>
        <v>127.7</v>
      </c>
      <c r="K98" s="19">
        <v>44240</v>
      </c>
      <c r="L98" s="22">
        <v>34.44</v>
      </c>
      <c r="M98" s="77"/>
    </row>
    <row r="99" spans="1:13" ht="22.5" customHeight="1">
      <c r="A99" s="74"/>
      <c r="B99" s="75"/>
      <c r="C99" s="76"/>
      <c r="D99" s="76" t="s">
        <v>37</v>
      </c>
      <c r="E99" s="13" t="s">
        <v>123</v>
      </c>
      <c r="F99" s="17">
        <v>30</v>
      </c>
      <c r="G99" s="17">
        <f>SUM(F99*1.68/30)</f>
        <v>1.68</v>
      </c>
      <c r="H99" s="17">
        <f>SUM(F99*0.33/30)</f>
        <v>0.33</v>
      </c>
      <c r="I99" s="17">
        <f>SUM(F99*14.82/30)</f>
        <v>14.82</v>
      </c>
      <c r="J99" s="17">
        <f>SUM(F99*68.97/30)</f>
        <v>68.97</v>
      </c>
      <c r="K99" s="52" t="s">
        <v>25</v>
      </c>
      <c r="L99" s="22">
        <v>2.95</v>
      </c>
      <c r="M99" s="77"/>
    </row>
    <row r="100" spans="1:13" ht="22.5" customHeight="1">
      <c r="A100" s="74"/>
      <c r="B100" s="75"/>
      <c r="C100" s="76"/>
      <c r="D100" s="78"/>
      <c r="E100" s="79"/>
      <c r="F100" s="89"/>
      <c r="G100" s="89"/>
      <c r="H100" s="89"/>
      <c r="I100" s="89"/>
      <c r="J100" s="89"/>
      <c r="K100" s="52"/>
      <c r="L100" s="22"/>
      <c r="M100" s="77"/>
    </row>
    <row r="101" spans="1:13" ht="22.5" customHeight="1">
      <c r="A101" s="81"/>
      <c r="B101" s="82"/>
      <c r="C101" s="83"/>
      <c r="D101" s="84" t="s">
        <v>27</v>
      </c>
      <c r="E101" s="85"/>
      <c r="F101" s="86">
        <f t="shared" ref="F101:J101" si="21">SUM(F95:F100)</f>
        <v>580</v>
      </c>
      <c r="G101" s="86">
        <f t="shared" si="21"/>
        <v>16.78</v>
      </c>
      <c r="H101" s="86">
        <f t="shared" si="21"/>
        <v>17.529999999999998</v>
      </c>
      <c r="I101" s="86">
        <f t="shared" si="21"/>
        <v>96.93</v>
      </c>
      <c r="J101" s="86">
        <f t="shared" si="21"/>
        <v>612.81000000000006</v>
      </c>
      <c r="K101" s="53"/>
      <c r="L101" s="54">
        <f>SUM(L95:L100)</f>
        <v>125.03999999999999</v>
      </c>
      <c r="M101" s="77"/>
    </row>
    <row r="102" spans="1:13" ht="46.5" customHeight="1">
      <c r="A102" s="74">
        <f>A95</f>
        <v>2</v>
      </c>
      <c r="B102" s="75">
        <f>B95</f>
        <v>1</v>
      </c>
      <c r="C102" s="76" t="s">
        <v>28</v>
      </c>
      <c r="D102" s="76" t="s">
        <v>29</v>
      </c>
      <c r="E102" s="5" t="s">
        <v>146</v>
      </c>
      <c r="F102" s="17">
        <v>60</v>
      </c>
      <c r="G102" s="17">
        <f>F102*1.5/60</f>
        <v>1.5</v>
      </c>
      <c r="H102" s="17">
        <f>F102*6/60</f>
        <v>6</v>
      </c>
      <c r="I102" s="17">
        <f>F102*4.25/60</f>
        <v>4.25</v>
      </c>
      <c r="J102" s="17">
        <f>F102*76.8/60</f>
        <v>76.8</v>
      </c>
      <c r="K102" s="19">
        <v>44409</v>
      </c>
      <c r="L102" s="59">
        <v>16.079999999999998</v>
      </c>
      <c r="M102" s="77"/>
    </row>
    <row r="103" spans="1:13" ht="27.75" customHeight="1">
      <c r="A103" s="74"/>
      <c r="B103" s="75"/>
      <c r="C103" s="76"/>
      <c r="D103" s="76" t="s">
        <v>30</v>
      </c>
      <c r="E103" s="5" t="s">
        <v>134</v>
      </c>
      <c r="F103" s="17">
        <v>200</v>
      </c>
      <c r="G103" s="17">
        <f>F103*4.46/200</f>
        <v>4.46</v>
      </c>
      <c r="H103" s="17">
        <f>F103*4.66/200</f>
        <v>4.66</v>
      </c>
      <c r="I103" s="17">
        <f>F103*18.04/200</f>
        <v>18.04</v>
      </c>
      <c r="J103" s="17">
        <f>F103*132/200</f>
        <v>132</v>
      </c>
      <c r="K103" s="19" t="s">
        <v>80</v>
      </c>
      <c r="L103" s="59">
        <v>34.93</v>
      </c>
      <c r="M103" s="77"/>
    </row>
    <row r="104" spans="1:13" ht="22.5" customHeight="1">
      <c r="A104" s="74"/>
      <c r="B104" s="75"/>
      <c r="C104" s="76"/>
      <c r="D104" s="76" t="s">
        <v>35</v>
      </c>
      <c r="E104" s="4" t="s">
        <v>74</v>
      </c>
      <c r="F104" s="17">
        <v>20</v>
      </c>
      <c r="G104" s="17">
        <f>F104*1.71/20</f>
        <v>1.7100000000000002</v>
      </c>
      <c r="H104" s="17">
        <f>F104*0.17/20</f>
        <v>0.17</v>
      </c>
      <c r="I104" s="17">
        <f>F104*10.75/20</f>
        <v>10.75</v>
      </c>
      <c r="J104" s="17">
        <f>F104*51.4/20</f>
        <v>51.4</v>
      </c>
      <c r="K104" s="19" t="s">
        <v>81</v>
      </c>
      <c r="L104" s="59">
        <v>2.5499999999999998</v>
      </c>
      <c r="M104" s="77"/>
    </row>
    <row r="105" spans="1:13" ht="22.5" customHeight="1">
      <c r="A105" s="74"/>
      <c r="B105" s="75"/>
      <c r="C105" s="76"/>
      <c r="D105" s="76" t="s">
        <v>31</v>
      </c>
      <c r="E105" s="4" t="s">
        <v>40</v>
      </c>
      <c r="F105" s="17">
        <v>95</v>
      </c>
      <c r="G105" s="17">
        <f>F105*13.32/90</f>
        <v>14.06</v>
      </c>
      <c r="H105" s="17">
        <f>F105*11.16/90</f>
        <v>11.780000000000001</v>
      </c>
      <c r="I105" s="17">
        <f>F105*8.19/90</f>
        <v>8.6449999999999996</v>
      </c>
      <c r="J105" s="17">
        <f>F105*186.3/90</f>
        <v>196.65</v>
      </c>
      <c r="K105" s="52">
        <v>44325</v>
      </c>
      <c r="L105" s="59">
        <v>65.290000000000006</v>
      </c>
      <c r="M105" s="77"/>
    </row>
    <row r="106" spans="1:13" ht="22.5" customHeight="1">
      <c r="A106" s="74"/>
      <c r="B106" s="75"/>
      <c r="C106" s="76"/>
      <c r="D106" s="76" t="s">
        <v>32</v>
      </c>
      <c r="E106" s="5" t="s">
        <v>46</v>
      </c>
      <c r="F106" s="17">
        <v>150</v>
      </c>
      <c r="G106" s="17">
        <f>F106*6.63/150</f>
        <v>6.63</v>
      </c>
      <c r="H106" s="17">
        <f>F106*4.44/150</f>
        <v>4.4400000000000004</v>
      </c>
      <c r="I106" s="17">
        <f>F106*28.8/150</f>
        <v>28.8</v>
      </c>
      <c r="J106" s="17">
        <f>F106*181.5/150</f>
        <v>181.5</v>
      </c>
      <c r="K106" s="19" t="s">
        <v>62</v>
      </c>
      <c r="L106" s="59">
        <v>10.11</v>
      </c>
      <c r="M106" s="77"/>
    </row>
    <row r="107" spans="1:13" ht="22.5" customHeight="1">
      <c r="A107" s="74"/>
      <c r="B107" s="75"/>
      <c r="C107" s="76"/>
      <c r="D107" s="76" t="s">
        <v>85</v>
      </c>
      <c r="E107" s="12" t="s">
        <v>104</v>
      </c>
      <c r="F107" s="16">
        <v>200</v>
      </c>
      <c r="G107" s="16">
        <v>1</v>
      </c>
      <c r="H107" s="16">
        <v>0</v>
      </c>
      <c r="I107" s="16">
        <v>27.4</v>
      </c>
      <c r="J107" s="16">
        <v>114</v>
      </c>
      <c r="K107" s="19" t="s">
        <v>105</v>
      </c>
      <c r="L107" s="59">
        <v>12.54</v>
      </c>
      <c r="M107" s="77"/>
    </row>
    <row r="108" spans="1:13" ht="22.5" customHeight="1">
      <c r="A108" s="74"/>
      <c r="B108" s="75"/>
      <c r="C108" s="76"/>
      <c r="D108" s="76" t="s">
        <v>37</v>
      </c>
      <c r="E108" s="4" t="s">
        <v>123</v>
      </c>
      <c r="F108" s="17">
        <v>36</v>
      </c>
      <c r="G108" s="17">
        <f>SUM(F108*1.68/30)</f>
        <v>2.016</v>
      </c>
      <c r="H108" s="17">
        <f>SUM(F108*0.33/30)</f>
        <v>0.39600000000000002</v>
      </c>
      <c r="I108" s="17">
        <f>SUM(F108*14.82/30)</f>
        <v>17.783999999999999</v>
      </c>
      <c r="J108" s="17">
        <f>SUM(F108*68.97/30)</f>
        <v>82.763999999999996</v>
      </c>
      <c r="K108" s="19" t="s">
        <v>39</v>
      </c>
      <c r="L108" s="59">
        <v>3.55</v>
      </c>
      <c r="M108" s="77"/>
    </row>
    <row r="109" spans="1:13" ht="22.5" customHeight="1">
      <c r="A109" s="74"/>
      <c r="B109" s="75"/>
      <c r="C109" s="76"/>
      <c r="D109" s="78"/>
      <c r="E109" s="5"/>
      <c r="F109" s="3"/>
      <c r="G109" s="3"/>
      <c r="H109" s="3"/>
      <c r="I109" s="3"/>
      <c r="J109" s="3"/>
      <c r="K109" s="19"/>
      <c r="L109" s="59"/>
      <c r="M109" s="77"/>
    </row>
    <row r="110" spans="1:13" ht="22.5" customHeight="1">
      <c r="A110" s="81"/>
      <c r="B110" s="82"/>
      <c r="C110" s="83"/>
      <c r="D110" s="84" t="s">
        <v>27</v>
      </c>
      <c r="E110" s="85"/>
      <c r="F110" s="86">
        <f t="shared" ref="F110:J110" si="22">SUM(F102:F109)</f>
        <v>761</v>
      </c>
      <c r="G110" s="86">
        <f t="shared" si="22"/>
        <v>31.375999999999998</v>
      </c>
      <c r="H110" s="86">
        <f t="shared" si="22"/>
        <v>27.446000000000002</v>
      </c>
      <c r="I110" s="86">
        <f>SUM(I102:I109)</f>
        <v>115.66899999999998</v>
      </c>
      <c r="J110" s="86">
        <f t="shared" si="22"/>
        <v>835.11400000000003</v>
      </c>
      <c r="K110" s="53"/>
      <c r="L110" s="54">
        <f>SUM(L102:L109)</f>
        <v>145.04999999999998</v>
      </c>
      <c r="M110" s="77"/>
    </row>
    <row r="111" spans="1:13" ht="22.5" customHeight="1">
      <c r="A111" s="81">
        <f>A95</f>
        <v>2</v>
      </c>
      <c r="B111" s="82">
        <f>B95</f>
        <v>1</v>
      </c>
      <c r="C111" s="108" t="s">
        <v>38</v>
      </c>
      <c r="D111" s="109"/>
      <c r="E111" s="85"/>
      <c r="F111" s="86">
        <f>F101+F110</f>
        <v>1341</v>
      </c>
      <c r="G111" s="86">
        <f>G101+G110</f>
        <v>48.155999999999999</v>
      </c>
      <c r="H111" s="86">
        <f>H101+H110</f>
        <v>44.975999999999999</v>
      </c>
      <c r="I111" s="86">
        <f>I101+I110</f>
        <v>212.59899999999999</v>
      </c>
      <c r="J111" s="86">
        <f>J101+J110</f>
        <v>1447.924</v>
      </c>
      <c r="K111" s="53"/>
      <c r="L111" s="54">
        <f>L101+L110</f>
        <v>270.08999999999997</v>
      </c>
      <c r="M111" s="77"/>
    </row>
    <row r="112" spans="1:13" ht="32.25" customHeight="1">
      <c r="A112" s="74">
        <v>2</v>
      </c>
      <c r="B112" s="75">
        <v>2</v>
      </c>
      <c r="C112" s="76" t="s">
        <v>21</v>
      </c>
      <c r="D112" s="76" t="s">
        <v>22</v>
      </c>
      <c r="E112" s="4" t="s">
        <v>87</v>
      </c>
      <c r="F112" s="17">
        <v>220</v>
      </c>
      <c r="G112" s="17">
        <f>F112*30.42/180</f>
        <v>37.18</v>
      </c>
      <c r="H112" s="17">
        <f>F112*17.28/180</f>
        <v>21.12</v>
      </c>
      <c r="I112" s="17">
        <f>F112*23.76/180</f>
        <v>29.040000000000003</v>
      </c>
      <c r="J112" s="17">
        <f>F112*372.6/180</f>
        <v>455.4</v>
      </c>
      <c r="K112" s="52" t="s">
        <v>160</v>
      </c>
      <c r="L112" s="22">
        <v>89.96</v>
      </c>
      <c r="M112" s="77"/>
    </row>
    <row r="113" spans="1:13" ht="22.5" customHeight="1">
      <c r="A113" s="74"/>
      <c r="B113" s="75"/>
      <c r="C113" s="76"/>
      <c r="D113" s="76" t="s">
        <v>35</v>
      </c>
      <c r="E113" s="4" t="s">
        <v>61</v>
      </c>
      <c r="F113" s="17">
        <v>70</v>
      </c>
      <c r="G113" s="17">
        <f>F113*4.48/70</f>
        <v>4.4800000000000004</v>
      </c>
      <c r="H113" s="17">
        <f>F113*10.78/70</f>
        <v>10.78</v>
      </c>
      <c r="I113" s="17">
        <f>F113*27.3/70</f>
        <v>27.3</v>
      </c>
      <c r="J113" s="17">
        <f>F113*224/70</f>
        <v>224</v>
      </c>
      <c r="K113" s="52">
        <v>44209</v>
      </c>
      <c r="L113" s="22">
        <v>27.45</v>
      </c>
      <c r="M113" s="77"/>
    </row>
    <row r="114" spans="1:13" ht="22.5" customHeight="1">
      <c r="A114" s="74"/>
      <c r="B114" s="75"/>
      <c r="C114" s="76"/>
      <c r="D114" s="76" t="s">
        <v>23</v>
      </c>
      <c r="E114" s="4" t="s">
        <v>59</v>
      </c>
      <c r="F114" s="4">
        <v>200</v>
      </c>
      <c r="G114" s="17">
        <v>0.2</v>
      </c>
      <c r="H114" s="17">
        <v>0</v>
      </c>
      <c r="I114" s="17">
        <v>13.7</v>
      </c>
      <c r="J114" s="17">
        <v>56</v>
      </c>
      <c r="K114" s="52" t="s">
        <v>60</v>
      </c>
      <c r="L114" s="22">
        <v>4.03</v>
      </c>
      <c r="M114" s="77"/>
    </row>
    <row r="115" spans="1:13" ht="22.5" customHeight="1">
      <c r="A115" s="74"/>
      <c r="B115" s="75"/>
      <c r="C115" s="76"/>
      <c r="D115" s="76" t="s">
        <v>37</v>
      </c>
      <c r="E115" s="4" t="s">
        <v>123</v>
      </c>
      <c r="F115" s="17">
        <v>37</v>
      </c>
      <c r="G115" s="17">
        <f>SUM(F115*2.8/50)</f>
        <v>2.0720000000000001</v>
      </c>
      <c r="H115" s="17">
        <f>SUM(F115*0.55/50)</f>
        <v>0.40700000000000003</v>
      </c>
      <c r="I115" s="17">
        <f>SUM(F115*24.7/50)</f>
        <v>18.277999999999999</v>
      </c>
      <c r="J115" s="17">
        <f>SUM(F115*114.95/50)</f>
        <v>85.063000000000017</v>
      </c>
      <c r="K115" s="52" t="s">
        <v>25</v>
      </c>
      <c r="L115" s="22">
        <v>3.6</v>
      </c>
      <c r="M115" s="77"/>
    </row>
    <row r="116" spans="1:13" ht="22.5" customHeight="1">
      <c r="A116" s="74"/>
      <c r="B116" s="75"/>
      <c r="C116" s="76"/>
      <c r="D116" s="78"/>
      <c r="E116" s="4"/>
      <c r="F116" s="17"/>
      <c r="G116" s="17"/>
      <c r="H116" s="17"/>
      <c r="I116" s="17"/>
      <c r="J116" s="17"/>
      <c r="K116" s="52"/>
      <c r="L116" s="22"/>
      <c r="M116" s="77"/>
    </row>
    <row r="117" spans="1:13" ht="22.5" customHeight="1">
      <c r="A117" s="74"/>
      <c r="B117" s="75"/>
      <c r="C117" s="76"/>
      <c r="D117" s="78"/>
      <c r="E117" s="79"/>
      <c r="F117" s="88"/>
      <c r="G117" s="88"/>
      <c r="H117" s="88"/>
      <c r="I117" s="88"/>
      <c r="J117" s="88"/>
      <c r="K117" s="52"/>
      <c r="L117" s="22"/>
      <c r="M117" s="77"/>
    </row>
    <row r="118" spans="1:13" ht="22.5" customHeight="1">
      <c r="A118" s="81"/>
      <c r="B118" s="82"/>
      <c r="C118" s="83"/>
      <c r="D118" s="84" t="s">
        <v>27</v>
      </c>
      <c r="E118" s="85"/>
      <c r="F118" s="86">
        <f>SUM(F112:F117)</f>
        <v>527</v>
      </c>
      <c r="G118" s="86">
        <f>SUM(G112:G117)</f>
        <v>43.932000000000002</v>
      </c>
      <c r="H118" s="86">
        <f>SUM(H112:H117)</f>
        <v>32.307000000000002</v>
      </c>
      <c r="I118" s="86">
        <f>SUM(I112:I117)</f>
        <v>88.318000000000012</v>
      </c>
      <c r="J118" s="86">
        <f>SUM(J112:J117)</f>
        <v>820.46299999999997</v>
      </c>
      <c r="K118" s="53"/>
      <c r="L118" s="54">
        <f>SUM(L112:L117)</f>
        <v>125.03999999999999</v>
      </c>
      <c r="M118" s="77"/>
    </row>
    <row r="119" spans="1:13" ht="22.5" customHeight="1">
      <c r="A119" s="74">
        <f>A112</f>
        <v>2</v>
      </c>
      <c r="B119" s="75">
        <f>B112</f>
        <v>2</v>
      </c>
      <c r="C119" s="76" t="s">
        <v>28</v>
      </c>
      <c r="D119" s="76" t="s">
        <v>29</v>
      </c>
      <c r="E119" s="5" t="s">
        <v>64</v>
      </c>
      <c r="F119" s="17">
        <v>60</v>
      </c>
      <c r="G119" s="17">
        <f>F119*1.3/100</f>
        <v>0.78</v>
      </c>
      <c r="H119" s="17">
        <f>F119*8.9/100</f>
        <v>5.34</v>
      </c>
      <c r="I119" s="17">
        <f>F119*6.7/100</f>
        <v>4.0199999999999996</v>
      </c>
      <c r="J119" s="17">
        <f>F119*112/100</f>
        <v>67.2</v>
      </c>
      <c r="K119" s="52">
        <v>72</v>
      </c>
      <c r="L119" s="22">
        <v>11.1</v>
      </c>
      <c r="M119" s="77"/>
    </row>
    <row r="120" spans="1:13" ht="22.5" customHeight="1">
      <c r="A120" s="74"/>
      <c r="B120" s="75"/>
      <c r="C120" s="76"/>
      <c r="D120" s="76" t="s">
        <v>30</v>
      </c>
      <c r="E120" s="12" t="s">
        <v>141</v>
      </c>
      <c r="F120" s="17">
        <v>200</v>
      </c>
      <c r="G120" s="17">
        <f>F120*3.9/200</f>
        <v>3.9</v>
      </c>
      <c r="H120" s="17">
        <f>F120*6.02/200</f>
        <v>6.02</v>
      </c>
      <c r="I120" s="17">
        <f>F120*13.88/200</f>
        <v>13.88</v>
      </c>
      <c r="J120" s="17">
        <f>F120*125.6/200</f>
        <v>125.6</v>
      </c>
      <c r="K120" s="52">
        <v>44502</v>
      </c>
      <c r="L120" s="22">
        <v>34.75</v>
      </c>
      <c r="M120" s="77"/>
    </row>
    <row r="121" spans="1:13" ht="22.5" customHeight="1">
      <c r="A121" s="74"/>
      <c r="B121" s="75"/>
      <c r="C121" s="76"/>
      <c r="D121" s="76" t="s">
        <v>31</v>
      </c>
      <c r="E121" s="13" t="s">
        <v>99</v>
      </c>
      <c r="F121" s="15">
        <v>90</v>
      </c>
      <c r="G121" s="17">
        <f>F121*11.7/90</f>
        <v>11.7</v>
      </c>
      <c r="H121" s="17">
        <f>F121*11.61/90</f>
        <v>11.609999999999998</v>
      </c>
      <c r="I121" s="17">
        <f>F121*5.76/90</f>
        <v>5.76</v>
      </c>
      <c r="J121" s="17">
        <f>F121*174.6/90</f>
        <v>174.6</v>
      </c>
      <c r="K121" s="19" t="s">
        <v>102</v>
      </c>
      <c r="L121" s="22">
        <v>68.66</v>
      </c>
      <c r="M121" s="77"/>
    </row>
    <row r="122" spans="1:13" ht="22.5" customHeight="1">
      <c r="A122" s="74"/>
      <c r="B122" s="75"/>
      <c r="C122" s="76"/>
      <c r="D122" s="76" t="s">
        <v>32</v>
      </c>
      <c r="E122" s="13" t="s">
        <v>33</v>
      </c>
      <c r="F122" s="15">
        <v>150</v>
      </c>
      <c r="G122" s="17">
        <f>F122*5.33/150</f>
        <v>5.33</v>
      </c>
      <c r="H122" s="17">
        <f>F122*3/150</f>
        <v>3</v>
      </c>
      <c r="I122" s="17">
        <f>F122*32.4/150</f>
        <v>32.4</v>
      </c>
      <c r="J122" s="17">
        <f>F122*177.75/150</f>
        <v>177.75</v>
      </c>
      <c r="K122" s="19" t="s">
        <v>67</v>
      </c>
      <c r="L122" s="22">
        <v>9.91</v>
      </c>
      <c r="M122" s="77"/>
    </row>
    <row r="123" spans="1:13" ht="22.5" customHeight="1">
      <c r="A123" s="74"/>
      <c r="B123" s="75"/>
      <c r="C123" s="76"/>
      <c r="D123" s="76" t="s">
        <v>85</v>
      </c>
      <c r="E123" s="13" t="s">
        <v>106</v>
      </c>
      <c r="F123" s="16">
        <v>200</v>
      </c>
      <c r="G123" s="16">
        <v>0.4</v>
      </c>
      <c r="H123" s="16">
        <v>0.4</v>
      </c>
      <c r="I123" s="16">
        <v>18.7</v>
      </c>
      <c r="J123" s="16">
        <v>80</v>
      </c>
      <c r="K123" s="19" t="s">
        <v>107</v>
      </c>
      <c r="L123" s="22">
        <v>14.29</v>
      </c>
      <c r="M123" s="77"/>
    </row>
    <row r="124" spans="1:13" ht="22.5" customHeight="1">
      <c r="A124" s="74"/>
      <c r="B124" s="75"/>
      <c r="C124" s="76"/>
      <c r="D124" s="76" t="s">
        <v>35</v>
      </c>
      <c r="E124" s="4" t="s">
        <v>36</v>
      </c>
      <c r="F124" s="17">
        <v>30</v>
      </c>
      <c r="G124" s="17">
        <f>SUM(F124*2.37/30)</f>
        <v>2.37</v>
      </c>
      <c r="H124" s="17">
        <f>SUM(F124*0.3/30)</f>
        <v>0.3</v>
      </c>
      <c r="I124" s="17">
        <f>SUM(F124*14.49/30)</f>
        <v>14.49</v>
      </c>
      <c r="J124" s="17">
        <f>SUM(F124*70.14/30)</f>
        <v>70.14</v>
      </c>
      <c r="K124" s="19" t="s">
        <v>25</v>
      </c>
      <c r="L124" s="22">
        <v>3.19</v>
      </c>
      <c r="M124" s="77"/>
    </row>
    <row r="125" spans="1:13" ht="22.5" customHeight="1">
      <c r="A125" s="74"/>
      <c r="B125" s="75"/>
      <c r="C125" s="76"/>
      <c r="D125" s="76" t="s">
        <v>37</v>
      </c>
      <c r="E125" s="13" t="s">
        <v>123</v>
      </c>
      <c r="F125" s="17">
        <v>32</v>
      </c>
      <c r="G125" s="17">
        <f>SUM(F125*1.68/30)</f>
        <v>1.792</v>
      </c>
      <c r="H125" s="17">
        <f>SUM(F125*0.33/30)</f>
        <v>0.35200000000000004</v>
      </c>
      <c r="I125" s="17">
        <f>SUM(F125*14.82/30)</f>
        <v>15.808</v>
      </c>
      <c r="J125" s="17">
        <f>SUM(F125*68.97/30)</f>
        <v>73.567999999999998</v>
      </c>
      <c r="K125" s="19" t="s">
        <v>25</v>
      </c>
      <c r="L125" s="22">
        <v>3.15</v>
      </c>
      <c r="M125" s="77"/>
    </row>
    <row r="126" spans="1:13" ht="22.5" customHeight="1">
      <c r="A126" s="74"/>
      <c r="B126" s="75"/>
      <c r="C126" s="76"/>
      <c r="D126" s="78"/>
      <c r="E126" s="79"/>
      <c r="F126" s="88"/>
      <c r="G126" s="88"/>
      <c r="H126" s="88"/>
      <c r="I126" s="88"/>
      <c r="J126" s="88"/>
      <c r="K126" s="52"/>
      <c r="L126" s="22"/>
      <c r="M126" s="77"/>
    </row>
    <row r="127" spans="1:13" ht="22.5" customHeight="1">
      <c r="A127" s="74"/>
      <c r="B127" s="75"/>
      <c r="C127" s="76"/>
      <c r="D127" s="78"/>
      <c r="E127" s="79"/>
      <c r="F127" s="88"/>
      <c r="G127" s="88"/>
      <c r="H127" s="88"/>
      <c r="I127" s="88"/>
      <c r="J127" s="88"/>
      <c r="K127" s="52"/>
      <c r="L127" s="22"/>
      <c r="M127" s="77"/>
    </row>
    <row r="128" spans="1:13" ht="22.5" customHeight="1">
      <c r="A128" s="81"/>
      <c r="B128" s="82"/>
      <c r="C128" s="83"/>
      <c r="D128" s="84" t="s">
        <v>27</v>
      </c>
      <c r="E128" s="85"/>
      <c r="F128" s="86">
        <f>SUM(F119:F127)</f>
        <v>762</v>
      </c>
      <c r="G128" s="86">
        <f>SUM(G119:G127)</f>
        <v>26.272000000000002</v>
      </c>
      <c r="H128" s="86">
        <f t="shared" ref="H128:J128" si="23">SUM(H119:H127)</f>
        <v>27.021999999999998</v>
      </c>
      <c r="I128" s="86">
        <f t="shared" si="23"/>
        <v>105.05799999999999</v>
      </c>
      <c r="J128" s="86">
        <f t="shared" si="23"/>
        <v>768.85799999999995</v>
      </c>
      <c r="K128" s="53"/>
      <c r="L128" s="54">
        <f>SUM(L119:L127)</f>
        <v>145.04999999999998</v>
      </c>
      <c r="M128" s="77"/>
    </row>
    <row r="129" spans="1:13" ht="22.5" customHeight="1">
      <c r="A129" s="81">
        <f>A112</f>
        <v>2</v>
      </c>
      <c r="B129" s="82">
        <f>B112</f>
        <v>2</v>
      </c>
      <c r="C129" s="108" t="s">
        <v>38</v>
      </c>
      <c r="D129" s="109"/>
      <c r="E129" s="85"/>
      <c r="F129" s="86">
        <f>F118+F128</f>
        <v>1289</v>
      </c>
      <c r="G129" s="86">
        <f>G118+G128</f>
        <v>70.204000000000008</v>
      </c>
      <c r="H129" s="86">
        <f t="shared" ref="H129" si="24">H118+H128</f>
        <v>59.329000000000001</v>
      </c>
      <c r="I129" s="86">
        <f t="shared" ref="I129" si="25">I118+I128</f>
        <v>193.376</v>
      </c>
      <c r="J129" s="86">
        <f t="shared" ref="J129" si="26">J118+J128</f>
        <v>1589.3209999999999</v>
      </c>
      <c r="K129" s="53"/>
      <c r="L129" s="54">
        <f>L118+L128</f>
        <v>270.08999999999997</v>
      </c>
      <c r="M129" s="77"/>
    </row>
    <row r="130" spans="1:13" ht="22.5" customHeight="1">
      <c r="A130" s="74">
        <v>2</v>
      </c>
      <c r="B130" s="75">
        <v>3</v>
      </c>
      <c r="C130" s="76" t="s">
        <v>21</v>
      </c>
      <c r="D130" s="76" t="s">
        <v>31</v>
      </c>
      <c r="E130" s="5" t="s">
        <v>66</v>
      </c>
      <c r="F130" s="17">
        <v>100</v>
      </c>
      <c r="G130" s="17">
        <f>F130*10.44/90</f>
        <v>11.6</v>
      </c>
      <c r="H130" s="17">
        <f>F130*10.89/90</f>
        <v>12.1</v>
      </c>
      <c r="I130" s="17">
        <f>F130*10.08/90</f>
        <v>11.2</v>
      </c>
      <c r="J130" s="17">
        <f>F130*180/90</f>
        <v>200</v>
      </c>
      <c r="K130" s="19">
        <v>44236</v>
      </c>
      <c r="L130" s="22">
        <v>66.02</v>
      </c>
      <c r="M130" s="77"/>
    </row>
    <row r="131" spans="1:13" ht="30.75" customHeight="1">
      <c r="A131" s="74"/>
      <c r="B131" s="75"/>
      <c r="C131" s="76"/>
      <c r="D131" s="78" t="s">
        <v>32</v>
      </c>
      <c r="E131" s="13" t="s">
        <v>108</v>
      </c>
      <c r="F131" s="16">
        <v>150</v>
      </c>
      <c r="G131" s="16">
        <f>F131*8.63/150</f>
        <v>8.6300000000000008</v>
      </c>
      <c r="H131" s="16">
        <f>F131*6.83/150</f>
        <v>6.83</v>
      </c>
      <c r="I131" s="16">
        <f>F131*37.8/150</f>
        <v>37.799999999999997</v>
      </c>
      <c r="J131" s="16">
        <f>F131*266.25/150</f>
        <v>266.25</v>
      </c>
      <c r="K131" s="52" t="s">
        <v>84</v>
      </c>
      <c r="L131" s="22">
        <v>19.18</v>
      </c>
      <c r="M131" s="77"/>
    </row>
    <row r="132" spans="1:13" ht="22.5" customHeight="1">
      <c r="A132" s="74"/>
      <c r="B132" s="75"/>
      <c r="C132" s="76"/>
      <c r="D132" s="76" t="s">
        <v>23</v>
      </c>
      <c r="E132" s="13" t="s">
        <v>54</v>
      </c>
      <c r="F132" s="16">
        <v>200</v>
      </c>
      <c r="G132" s="16">
        <v>0.2</v>
      </c>
      <c r="H132" s="16">
        <v>0.1</v>
      </c>
      <c r="I132" s="16">
        <v>13.1</v>
      </c>
      <c r="J132" s="16">
        <v>54</v>
      </c>
      <c r="K132" s="52" t="s">
        <v>55</v>
      </c>
      <c r="L132" s="22">
        <v>8.7799999999999994</v>
      </c>
      <c r="M132" s="77"/>
    </row>
    <row r="133" spans="1:13" ht="30" customHeight="1">
      <c r="A133" s="74"/>
      <c r="B133" s="75"/>
      <c r="C133" s="76"/>
      <c r="D133" s="76" t="s">
        <v>35</v>
      </c>
      <c r="E133" s="4" t="s">
        <v>36</v>
      </c>
      <c r="F133" s="17">
        <v>38</v>
      </c>
      <c r="G133" s="17">
        <f>SUM(F133*2.37/30)</f>
        <v>3.0020000000000002</v>
      </c>
      <c r="H133" s="17">
        <f>SUM(F133*0.3/30)</f>
        <v>0.38</v>
      </c>
      <c r="I133" s="17">
        <f>SUM(F133*14.49/30)</f>
        <v>18.353999999999999</v>
      </c>
      <c r="J133" s="17">
        <f>SUM(F133*70.14/30)</f>
        <v>88.844000000000008</v>
      </c>
      <c r="K133" s="19" t="s">
        <v>25</v>
      </c>
      <c r="L133" s="22">
        <v>4.04</v>
      </c>
      <c r="M133" s="77"/>
    </row>
    <row r="134" spans="1:13" ht="22.5" customHeight="1">
      <c r="A134" s="74"/>
      <c r="B134" s="75"/>
      <c r="C134" s="76"/>
      <c r="D134" s="76" t="s">
        <v>37</v>
      </c>
      <c r="E134" s="13" t="s">
        <v>123</v>
      </c>
      <c r="F134" s="17">
        <v>30</v>
      </c>
      <c r="G134" s="17">
        <f>SUM(F134*1.68/30)</f>
        <v>1.68</v>
      </c>
      <c r="H134" s="17">
        <f>SUM(F134*0.33/30)</f>
        <v>0.33</v>
      </c>
      <c r="I134" s="17">
        <f>SUM(F134*14.82/30)</f>
        <v>14.82</v>
      </c>
      <c r="J134" s="17">
        <f>SUM(F134*68.97/30)</f>
        <v>68.97</v>
      </c>
      <c r="K134" s="19" t="s">
        <v>39</v>
      </c>
      <c r="L134" s="56">
        <v>2.95</v>
      </c>
      <c r="M134" s="77"/>
    </row>
    <row r="135" spans="1:13" ht="29.25" customHeight="1">
      <c r="A135" s="74"/>
      <c r="B135" s="75"/>
      <c r="C135" s="76"/>
      <c r="D135" s="78"/>
      <c r="E135" s="30" t="s">
        <v>135</v>
      </c>
      <c r="F135" s="31">
        <v>30</v>
      </c>
      <c r="G135" s="31">
        <f>F135*3/100</f>
        <v>0.9</v>
      </c>
      <c r="H135" s="31">
        <f>F135*4.1/100</f>
        <v>1.2299999999999998</v>
      </c>
      <c r="I135" s="31">
        <f>F135*6.4/100</f>
        <v>1.92</v>
      </c>
      <c r="J135" s="31">
        <f>F135*75/100</f>
        <v>22.5</v>
      </c>
      <c r="K135" s="55" t="s">
        <v>137</v>
      </c>
      <c r="L135" s="56">
        <v>24.07</v>
      </c>
      <c r="M135" s="77"/>
    </row>
    <row r="136" spans="1:13" ht="22.5" customHeight="1">
      <c r="A136" s="74"/>
      <c r="B136" s="75"/>
      <c r="C136" s="76"/>
      <c r="D136" s="78"/>
      <c r="E136" s="90"/>
      <c r="F136" s="88"/>
      <c r="G136" s="88"/>
      <c r="H136" s="88"/>
      <c r="I136" s="88"/>
      <c r="J136" s="88"/>
      <c r="K136" s="52"/>
      <c r="L136" s="22"/>
      <c r="M136" s="77"/>
    </row>
    <row r="137" spans="1:13" ht="22.5" customHeight="1">
      <c r="A137" s="81"/>
      <c r="B137" s="82"/>
      <c r="C137" s="83"/>
      <c r="D137" s="84" t="s">
        <v>27</v>
      </c>
      <c r="E137" s="85"/>
      <c r="F137" s="91">
        <f>SUM(F130:F136)</f>
        <v>548</v>
      </c>
      <c r="G137" s="86">
        <f>SUM(G130:G136)</f>
        <v>26.011999999999997</v>
      </c>
      <c r="H137" s="86">
        <f>SUM(H130:H136)</f>
        <v>20.97</v>
      </c>
      <c r="I137" s="86">
        <f t="shared" ref="I137:J137" si="27">SUM(I130:I136)</f>
        <v>97.194000000000003</v>
      </c>
      <c r="J137" s="86">
        <f t="shared" si="27"/>
        <v>700.56400000000008</v>
      </c>
      <c r="K137" s="53"/>
      <c r="L137" s="54">
        <f>SUM(L130:L136)</f>
        <v>125.03999999999999</v>
      </c>
      <c r="M137" s="77"/>
    </row>
    <row r="138" spans="1:13" ht="22.5" customHeight="1">
      <c r="A138" s="74">
        <f>A130</f>
        <v>2</v>
      </c>
      <c r="B138" s="75">
        <f>B130</f>
        <v>3</v>
      </c>
      <c r="C138" s="76" t="s">
        <v>28</v>
      </c>
      <c r="D138" s="76" t="s">
        <v>29</v>
      </c>
      <c r="E138" s="13" t="s">
        <v>109</v>
      </c>
      <c r="F138" s="16">
        <v>60</v>
      </c>
      <c r="G138" s="16">
        <f>F138*3.06/60</f>
        <v>3.06</v>
      </c>
      <c r="H138" s="16">
        <f>F138*9.36/60</f>
        <v>9.3599999999999977</v>
      </c>
      <c r="I138" s="16">
        <f>F138*8.1/60</f>
        <v>8.1</v>
      </c>
      <c r="J138" s="16">
        <f>F138*128.76/60</f>
        <v>128.76</v>
      </c>
      <c r="K138" s="52" t="s">
        <v>110</v>
      </c>
      <c r="L138" s="22">
        <v>7.95</v>
      </c>
      <c r="M138" s="77"/>
    </row>
    <row r="139" spans="1:13" ht="30.75" customHeight="1">
      <c r="A139" s="74"/>
      <c r="B139" s="75"/>
      <c r="C139" s="76"/>
      <c r="D139" s="76" t="s">
        <v>30</v>
      </c>
      <c r="E139" s="12" t="s">
        <v>147</v>
      </c>
      <c r="F139" s="16">
        <v>200</v>
      </c>
      <c r="G139" s="16">
        <f>F139*3.42/200</f>
        <v>3.42</v>
      </c>
      <c r="H139" s="16">
        <f>F139*4.98/200</f>
        <v>4.9800000000000004</v>
      </c>
      <c r="I139" s="16">
        <f>F139*7/200</f>
        <v>7</v>
      </c>
      <c r="J139" s="16">
        <f>F139*87.2/200</f>
        <v>87.2</v>
      </c>
      <c r="K139" s="19">
        <v>44379</v>
      </c>
      <c r="L139" s="22">
        <v>27.31</v>
      </c>
      <c r="M139" s="77"/>
    </row>
    <row r="140" spans="1:13" ht="22.5" customHeight="1">
      <c r="A140" s="74"/>
      <c r="B140" s="75"/>
      <c r="C140" s="76"/>
      <c r="D140" s="76" t="s">
        <v>31</v>
      </c>
      <c r="E140" s="12" t="s">
        <v>65</v>
      </c>
      <c r="F140" s="16">
        <v>100</v>
      </c>
      <c r="G140" s="16">
        <f>F140*10.07/100</f>
        <v>10.07</v>
      </c>
      <c r="H140" s="16">
        <f>F140*7.08/100</f>
        <v>7.08</v>
      </c>
      <c r="I140" s="16">
        <f>F140*9.05/100</f>
        <v>9.0500000000000007</v>
      </c>
      <c r="J140" s="16">
        <f>F140*140.77/100</f>
        <v>140.77000000000001</v>
      </c>
      <c r="K140" s="19" t="s">
        <v>111</v>
      </c>
      <c r="L140" s="22">
        <v>73.91</v>
      </c>
      <c r="M140" s="77"/>
    </row>
    <row r="141" spans="1:13" ht="22.5" customHeight="1">
      <c r="A141" s="74"/>
      <c r="B141" s="75"/>
      <c r="C141" s="76"/>
      <c r="D141" s="76" t="s">
        <v>32</v>
      </c>
      <c r="E141" s="12" t="s">
        <v>51</v>
      </c>
      <c r="F141" s="17">
        <v>150</v>
      </c>
      <c r="G141" s="17">
        <f>F141*3.17/150</f>
        <v>3.17</v>
      </c>
      <c r="H141" s="17">
        <f>F141*3.6/150</f>
        <v>3.6</v>
      </c>
      <c r="I141" s="17">
        <f>F141*20.4/150</f>
        <v>20.399999999999999</v>
      </c>
      <c r="J141" s="17">
        <f>F141*128/150</f>
        <v>128</v>
      </c>
      <c r="K141" s="52" t="s">
        <v>112</v>
      </c>
      <c r="L141" s="22">
        <v>23.13</v>
      </c>
      <c r="M141" s="77"/>
    </row>
    <row r="142" spans="1:13" ht="22.5" customHeight="1">
      <c r="A142" s="74"/>
      <c r="B142" s="75"/>
      <c r="C142" s="76"/>
      <c r="D142" s="76" t="s">
        <v>85</v>
      </c>
      <c r="E142" s="12" t="s">
        <v>140</v>
      </c>
      <c r="F142" s="16">
        <v>200</v>
      </c>
      <c r="G142" s="16">
        <v>0</v>
      </c>
      <c r="H142" s="16">
        <v>0</v>
      </c>
      <c r="I142" s="16">
        <v>27.8</v>
      </c>
      <c r="J142" s="16">
        <v>111</v>
      </c>
      <c r="K142" s="52" t="s">
        <v>113</v>
      </c>
      <c r="L142" s="22">
        <v>5.54</v>
      </c>
      <c r="M142" s="77"/>
    </row>
    <row r="143" spans="1:13" ht="29.25" customHeight="1">
      <c r="A143" s="74"/>
      <c r="B143" s="75"/>
      <c r="C143" s="76"/>
      <c r="D143" s="76" t="s">
        <v>35</v>
      </c>
      <c r="E143" s="4" t="s">
        <v>36</v>
      </c>
      <c r="F143" s="17">
        <v>40</v>
      </c>
      <c r="G143" s="17">
        <f>SUM(F143*2.37/30)</f>
        <v>3.1600000000000006</v>
      </c>
      <c r="H143" s="17">
        <f>SUM(F143*0.3/30)</f>
        <v>0.4</v>
      </c>
      <c r="I143" s="17">
        <f>SUM(F143*14.49/30)</f>
        <v>19.32</v>
      </c>
      <c r="J143" s="17">
        <f>SUM(F143*70.14/30)</f>
        <v>93.52</v>
      </c>
      <c r="K143" s="19" t="s">
        <v>25</v>
      </c>
      <c r="L143" s="22">
        <v>4.26</v>
      </c>
      <c r="M143" s="77"/>
    </row>
    <row r="144" spans="1:13" ht="22.5" customHeight="1">
      <c r="A144" s="74"/>
      <c r="B144" s="75"/>
      <c r="C144" s="76"/>
      <c r="D144" s="76" t="s">
        <v>37</v>
      </c>
      <c r="E144" s="13" t="s">
        <v>123</v>
      </c>
      <c r="F144" s="17">
        <v>30</v>
      </c>
      <c r="G144" s="17">
        <f>SUM(F144*1.68/30)</f>
        <v>1.68</v>
      </c>
      <c r="H144" s="17">
        <f>SUM(F144*0.33/30)</f>
        <v>0.33</v>
      </c>
      <c r="I144" s="17">
        <f>SUM(F144*14.82/30)</f>
        <v>14.82</v>
      </c>
      <c r="J144" s="17">
        <f>SUM(F144*68.97/30)</f>
        <v>68.97</v>
      </c>
      <c r="K144" s="19" t="s">
        <v>39</v>
      </c>
      <c r="L144" s="22">
        <v>2.95</v>
      </c>
      <c r="M144" s="77"/>
    </row>
    <row r="145" spans="1:13" ht="22.5" customHeight="1">
      <c r="A145" s="74"/>
      <c r="B145" s="75"/>
      <c r="C145" s="76"/>
      <c r="D145" s="78"/>
      <c r="E145" s="79"/>
      <c r="F145" s="88"/>
      <c r="G145" s="88"/>
      <c r="H145" s="88"/>
      <c r="I145" s="88"/>
      <c r="J145" s="88"/>
      <c r="K145" s="52"/>
      <c r="L145" s="22"/>
      <c r="M145" s="77"/>
    </row>
    <row r="146" spans="1:13" ht="22.5" customHeight="1">
      <c r="A146" s="81"/>
      <c r="B146" s="82"/>
      <c r="C146" s="83"/>
      <c r="D146" s="84" t="s">
        <v>27</v>
      </c>
      <c r="E146" s="85"/>
      <c r="F146" s="86">
        <f>SUM(F138:F145)</f>
        <v>780</v>
      </c>
      <c r="G146" s="86">
        <f>SUM(G138:G145)</f>
        <v>24.56</v>
      </c>
      <c r="H146" s="86">
        <f>SUM(H138:H145)</f>
        <v>25.749999999999996</v>
      </c>
      <c r="I146" s="86">
        <f>SUM(I138:I145)</f>
        <v>106.48999999999998</v>
      </c>
      <c r="J146" s="86">
        <f>SUM(J138:J145)</f>
        <v>758.22</v>
      </c>
      <c r="K146" s="53"/>
      <c r="L146" s="54">
        <f>SUM(L138:L145)</f>
        <v>145.04999999999995</v>
      </c>
      <c r="M146" s="77"/>
    </row>
    <row r="147" spans="1:13" ht="22.5" customHeight="1">
      <c r="A147" s="81">
        <f>A130</f>
        <v>2</v>
      </c>
      <c r="B147" s="82">
        <f>B130</f>
        <v>3</v>
      </c>
      <c r="C147" s="108" t="s">
        <v>38</v>
      </c>
      <c r="D147" s="109"/>
      <c r="E147" s="85"/>
      <c r="F147" s="86">
        <f>F137+F146</f>
        <v>1328</v>
      </c>
      <c r="G147" s="86">
        <f>G137+G146</f>
        <v>50.571999999999996</v>
      </c>
      <c r="H147" s="86">
        <f>H137+H146-0.01</f>
        <v>46.71</v>
      </c>
      <c r="I147" s="86">
        <f>I137+I146+0.01</f>
        <v>203.69399999999996</v>
      </c>
      <c r="J147" s="86">
        <f>J137+J146+0.01</f>
        <v>1458.7940000000001</v>
      </c>
      <c r="K147" s="53"/>
      <c r="L147" s="54">
        <f>L137+L146</f>
        <v>270.08999999999992</v>
      </c>
      <c r="M147" s="77"/>
    </row>
    <row r="148" spans="1:13" ht="22.5" customHeight="1">
      <c r="A148" s="92">
        <v>2</v>
      </c>
      <c r="B148" s="93">
        <v>4</v>
      </c>
      <c r="C148" s="76" t="s">
        <v>21</v>
      </c>
      <c r="D148" s="76" t="s">
        <v>32</v>
      </c>
      <c r="E148" s="12" t="s">
        <v>122</v>
      </c>
      <c r="F148" s="17">
        <v>150</v>
      </c>
      <c r="G148" s="17">
        <f>F148*3.25/150</f>
        <v>3.25</v>
      </c>
      <c r="H148" s="17">
        <f>F148*2.8/150</f>
        <v>2.8</v>
      </c>
      <c r="I148" s="17">
        <f>F148*11.9/150</f>
        <v>11.9</v>
      </c>
      <c r="J148" s="17">
        <f>F148*87/150</f>
        <v>87</v>
      </c>
      <c r="K148" s="19">
        <v>44533</v>
      </c>
      <c r="L148" s="22">
        <v>17.170000000000002</v>
      </c>
      <c r="M148" s="77"/>
    </row>
    <row r="149" spans="1:13" ht="22.5" customHeight="1">
      <c r="A149" s="74"/>
      <c r="B149" s="75"/>
      <c r="C149" s="76"/>
      <c r="D149" s="76" t="s">
        <v>31</v>
      </c>
      <c r="E149" s="13" t="s">
        <v>86</v>
      </c>
      <c r="F149" s="17">
        <v>93</v>
      </c>
      <c r="G149" s="17">
        <f>F149*11.61/90</f>
        <v>11.997</v>
      </c>
      <c r="H149" s="17">
        <f>F149*12.06/90</f>
        <v>12.462000000000002</v>
      </c>
      <c r="I149" s="17">
        <f>F149*13.14/90</f>
        <v>13.577999999999999</v>
      </c>
      <c r="J149" s="17">
        <f>F149*207.54/90</f>
        <v>214.45799999999997</v>
      </c>
      <c r="K149" s="52" t="s">
        <v>155</v>
      </c>
      <c r="L149" s="22">
        <v>89.36</v>
      </c>
      <c r="M149" s="77"/>
    </row>
    <row r="150" spans="1:13" ht="22.5" customHeight="1">
      <c r="A150" s="74"/>
      <c r="B150" s="75"/>
      <c r="C150" s="76"/>
      <c r="D150" s="76" t="s">
        <v>23</v>
      </c>
      <c r="E150" s="12" t="s">
        <v>114</v>
      </c>
      <c r="F150" s="16">
        <v>200</v>
      </c>
      <c r="G150" s="16">
        <v>0.3</v>
      </c>
      <c r="H150" s="16">
        <v>0.1</v>
      </c>
      <c r="I150" s="16">
        <v>18.899999999999999</v>
      </c>
      <c r="J150" s="16">
        <v>78</v>
      </c>
      <c r="K150" s="52" t="s">
        <v>129</v>
      </c>
      <c r="L150" s="22">
        <v>9.25</v>
      </c>
      <c r="M150" s="77"/>
    </row>
    <row r="151" spans="1:13" ht="26.25" customHeight="1">
      <c r="A151" s="74"/>
      <c r="B151" s="75"/>
      <c r="C151" s="76"/>
      <c r="D151" s="76" t="s">
        <v>35</v>
      </c>
      <c r="E151" s="4" t="s">
        <v>36</v>
      </c>
      <c r="F151" s="17">
        <v>50</v>
      </c>
      <c r="G151" s="17">
        <f>SUM(F151*3.95/50)</f>
        <v>3.95</v>
      </c>
      <c r="H151" s="17">
        <f>SUM(F151*0.5/50)</f>
        <v>0.5</v>
      </c>
      <c r="I151" s="17">
        <f>SUM(F151*24.15/50)</f>
        <v>24.15</v>
      </c>
      <c r="J151" s="17">
        <f>SUM(F151*116.9/50)</f>
        <v>116.9</v>
      </c>
      <c r="K151" s="52" t="s">
        <v>25</v>
      </c>
      <c r="L151" s="22">
        <v>5.32</v>
      </c>
      <c r="M151" s="77"/>
    </row>
    <row r="152" spans="1:13" ht="22.5" customHeight="1">
      <c r="A152" s="74"/>
      <c r="B152" s="75"/>
      <c r="C152" s="76"/>
      <c r="D152" s="76" t="s">
        <v>37</v>
      </c>
      <c r="E152" s="4" t="s">
        <v>123</v>
      </c>
      <c r="F152" s="17">
        <v>40</v>
      </c>
      <c r="G152" s="17">
        <f>SUM(F152*1.68/30)</f>
        <v>2.2400000000000002</v>
      </c>
      <c r="H152" s="17">
        <f>SUM(F152*0.33/30)</f>
        <v>0.44000000000000006</v>
      </c>
      <c r="I152" s="17">
        <f>SUM(F152*14.82/30)</f>
        <v>19.759999999999998</v>
      </c>
      <c r="J152" s="17">
        <f>SUM(F152*68.97/30)</f>
        <v>91.960000000000008</v>
      </c>
      <c r="K152" s="52" t="s">
        <v>39</v>
      </c>
      <c r="L152" s="22">
        <v>3.94</v>
      </c>
      <c r="M152" s="77"/>
    </row>
    <row r="153" spans="1:13" ht="22.5" customHeight="1">
      <c r="A153" s="74"/>
      <c r="B153" s="75"/>
      <c r="C153" s="76"/>
      <c r="D153" s="76"/>
      <c r="E153" s="4"/>
      <c r="F153" s="17"/>
      <c r="G153" s="17"/>
      <c r="H153" s="17"/>
      <c r="I153" s="17"/>
      <c r="J153" s="17"/>
      <c r="K153" s="52"/>
      <c r="L153" s="22"/>
      <c r="M153" s="77"/>
    </row>
    <row r="154" spans="1:13" ht="22.5" customHeight="1">
      <c r="A154" s="81"/>
      <c r="B154" s="82"/>
      <c r="C154" s="83"/>
      <c r="D154" s="84" t="s">
        <v>27</v>
      </c>
      <c r="E154" s="85"/>
      <c r="F154" s="86">
        <f t="shared" ref="F154:J154" si="28">SUM(F148:F153)</f>
        <v>533</v>
      </c>
      <c r="G154" s="86">
        <f>SUM(G148:G153)-0.01</f>
        <v>21.727</v>
      </c>
      <c r="H154" s="86">
        <f t="shared" si="28"/>
        <v>16.302</v>
      </c>
      <c r="I154" s="86">
        <f>SUM(I148:I153)</f>
        <v>88.287999999999982</v>
      </c>
      <c r="J154" s="86">
        <f t="shared" si="28"/>
        <v>588.31799999999998</v>
      </c>
      <c r="K154" s="53"/>
      <c r="L154" s="54">
        <f>SUM(L148:L153)</f>
        <v>125.03999999999999</v>
      </c>
      <c r="M154" s="77"/>
    </row>
    <row r="155" spans="1:13" ht="30.75" customHeight="1">
      <c r="A155" s="74">
        <v>2</v>
      </c>
      <c r="B155" s="75">
        <v>4</v>
      </c>
      <c r="C155" s="76" t="s">
        <v>28</v>
      </c>
      <c r="D155" s="76" t="s">
        <v>29</v>
      </c>
      <c r="E155" s="12" t="s">
        <v>138</v>
      </c>
      <c r="F155" s="16">
        <v>60</v>
      </c>
      <c r="G155" s="16">
        <f>F155*1.3/100</f>
        <v>0.78</v>
      </c>
      <c r="H155" s="16">
        <f>F155*6.1/100</f>
        <v>3.66</v>
      </c>
      <c r="I155" s="16">
        <f>F155*4.1/100</f>
        <v>2.4599999999999995</v>
      </c>
      <c r="J155" s="16">
        <f>F155*82/100</f>
        <v>49.2</v>
      </c>
      <c r="K155" s="18" t="s">
        <v>139</v>
      </c>
      <c r="L155" s="22">
        <v>31.92</v>
      </c>
      <c r="M155" s="77"/>
    </row>
    <row r="156" spans="1:13" ht="30.75" customHeight="1">
      <c r="A156" s="74"/>
      <c r="B156" s="75"/>
      <c r="C156" s="76"/>
      <c r="D156" s="76" t="s">
        <v>30</v>
      </c>
      <c r="E156" s="12" t="s">
        <v>131</v>
      </c>
      <c r="F156" s="16">
        <v>200</v>
      </c>
      <c r="G156" s="16">
        <f>F156*3.9/200</f>
        <v>3.9</v>
      </c>
      <c r="H156" s="16">
        <f>F156*4.1/200</f>
        <v>4.0999999999999996</v>
      </c>
      <c r="I156" s="16">
        <f>F156*25.32/200</f>
        <v>25.32</v>
      </c>
      <c r="J156" s="16">
        <f>F156*154.4/200</f>
        <v>154.4</v>
      </c>
      <c r="K156" s="18" t="s">
        <v>58</v>
      </c>
      <c r="L156" s="22">
        <v>20.47</v>
      </c>
      <c r="M156" s="77"/>
    </row>
    <row r="157" spans="1:13" ht="22.5" customHeight="1">
      <c r="A157" s="74"/>
      <c r="B157" s="75"/>
      <c r="C157" s="76"/>
      <c r="D157" s="76" t="s">
        <v>31</v>
      </c>
      <c r="E157" s="12" t="s">
        <v>43</v>
      </c>
      <c r="F157" s="17">
        <v>90</v>
      </c>
      <c r="G157" s="17">
        <f>F157*17.19/90</f>
        <v>17.190000000000001</v>
      </c>
      <c r="H157" s="17">
        <f>F157*14.31/90</f>
        <v>14.31</v>
      </c>
      <c r="I157" s="17">
        <f>F157*0.18/90</f>
        <v>0.18</v>
      </c>
      <c r="J157" s="17">
        <f>F157*198/90</f>
        <v>198</v>
      </c>
      <c r="K157" s="18">
        <v>4232</v>
      </c>
      <c r="L157" s="22">
        <v>58.49</v>
      </c>
      <c r="M157" s="77"/>
    </row>
    <row r="158" spans="1:13" ht="22.5" customHeight="1">
      <c r="A158" s="74"/>
      <c r="B158" s="75"/>
      <c r="C158" s="76"/>
      <c r="D158" s="76" t="s">
        <v>32</v>
      </c>
      <c r="E158" s="13" t="s">
        <v>115</v>
      </c>
      <c r="F158" s="16">
        <v>150</v>
      </c>
      <c r="G158" s="16">
        <f>F158*3.6/150</f>
        <v>3.6</v>
      </c>
      <c r="H158" s="16">
        <f>F158*5.4/150</f>
        <v>5.4</v>
      </c>
      <c r="I158" s="16">
        <f>F158*36.68/150</f>
        <v>36.68</v>
      </c>
      <c r="J158" s="16">
        <f>F158*210/150</f>
        <v>210</v>
      </c>
      <c r="K158" s="18" t="s">
        <v>117</v>
      </c>
      <c r="L158" s="22">
        <v>15.38</v>
      </c>
      <c r="M158" s="77"/>
    </row>
    <row r="159" spans="1:13" ht="22.5" customHeight="1">
      <c r="A159" s="74"/>
      <c r="B159" s="75"/>
      <c r="C159" s="76"/>
      <c r="D159" s="76" t="s">
        <v>85</v>
      </c>
      <c r="E159" s="12" t="s">
        <v>116</v>
      </c>
      <c r="F159" s="16">
        <v>200</v>
      </c>
      <c r="G159" s="16">
        <v>0.7</v>
      </c>
      <c r="H159" s="16">
        <v>0</v>
      </c>
      <c r="I159" s="16">
        <v>21.1</v>
      </c>
      <c r="J159" s="16">
        <v>88</v>
      </c>
      <c r="K159" s="18" t="s">
        <v>118</v>
      </c>
      <c r="L159" s="22">
        <v>12.65</v>
      </c>
      <c r="M159" s="77"/>
    </row>
    <row r="160" spans="1:13" ht="27" customHeight="1">
      <c r="A160" s="74"/>
      <c r="B160" s="75"/>
      <c r="C160" s="76"/>
      <c r="D160" s="76" t="s">
        <v>35</v>
      </c>
      <c r="E160" s="4" t="s">
        <v>36</v>
      </c>
      <c r="F160" s="17">
        <v>30</v>
      </c>
      <c r="G160" s="17">
        <f>SUM(F160*2.37/30)</f>
        <v>2.37</v>
      </c>
      <c r="H160" s="17">
        <f>SUM(F160*0.3/30)</f>
        <v>0.3</v>
      </c>
      <c r="I160" s="17">
        <f>SUM(F160*14.49/30)</f>
        <v>14.49</v>
      </c>
      <c r="J160" s="17">
        <f>SUM(F160*70.14/30)</f>
        <v>70.14</v>
      </c>
      <c r="K160" s="18" t="s">
        <v>25</v>
      </c>
      <c r="L160" s="22">
        <v>3.19</v>
      </c>
      <c r="M160" s="77"/>
    </row>
    <row r="161" spans="1:13" ht="22.5" customHeight="1">
      <c r="A161" s="74"/>
      <c r="B161" s="75"/>
      <c r="C161" s="76"/>
      <c r="D161" s="76" t="s">
        <v>37</v>
      </c>
      <c r="E161" s="13" t="s">
        <v>123</v>
      </c>
      <c r="F161" s="17">
        <v>30</v>
      </c>
      <c r="G161" s="17">
        <f>SUM(F161*1.68/30)</f>
        <v>1.68</v>
      </c>
      <c r="H161" s="17">
        <f>SUM(F161*0.33/30)</f>
        <v>0.33</v>
      </c>
      <c r="I161" s="17">
        <f>SUM(F161*14.82/30)</f>
        <v>14.82</v>
      </c>
      <c r="J161" s="17">
        <f>SUM(F161*68.97/30)</f>
        <v>68.97</v>
      </c>
      <c r="K161" s="18" t="s">
        <v>39</v>
      </c>
      <c r="L161" s="22">
        <v>2.95</v>
      </c>
      <c r="M161" s="77"/>
    </row>
    <row r="162" spans="1:13" ht="22.5" customHeight="1">
      <c r="A162" s="74"/>
      <c r="B162" s="75"/>
      <c r="C162" s="76"/>
      <c r="D162" s="78"/>
      <c r="E162" s="79"/>
      <c r="F162" s="89"/>
      <c r="G162" s="89"/>
      <c r="H162" s="89"/>
      <c r="I162" s="89"/>
      <c r="J162" s="89"/>
      <c r="K162" s="52"/>
      <c r="L162" s="22"/>
      <c r="M162" s="77"/>
    </row>
    <row r="163" spans="1:13" ht="22.5" customHeight="1">
      <c r="A163" s="74"/>
      <c r="B163" s="75"/>
      <c r="C163" s="76"/>
      <c r="D163" s="78"/>
      <c r="E163" s="79"/>
      <c r="F163" s="88"/>
      <c r="G163" s="88"/>
      <c r="H163" s="88"/>
      <c r="I163" s="88"/>
      <c r="J163" s="88"/>
      <c r="K163" s="52"/>
      <c r="L163" s="22"/>
      <c r="M163" s="77"/>
    </row>
    <row r="164" spans="1:13" ht="22.5" customHeight="1">
      <c r="A164" s="81"/>
      <c r="B164" s="82"/>
      <c r="C164" s="83"/>
      <c r="D164" s="84" t="s">
        <v>27</v>
      </c>
      <c r="E164" s="85"/>
      <c r="F164" s="86">
        <f>SUM(F155:F163)</f>
        <v>760</v>
      </c>
      <c r="G164" s="86">
        <f t="shared" ref="G164:J164" si="29">SUM(G155:G163)</f>
        <v>30.220000000000002</v>
      </c>
      <c r="H164" s="86">
        <f t="shared" si="29"/>
        <v>28.099999999999998</v>
      </c>
      <c r="I164" s="86">
        <f>SUM(I155:I163)</f>
        <v>115.05000000000001</v>
      </c>
      <c r="J164" s="86">
        <f t="shared" si="29"/>
        <v>838.71</v>
      </c>
      <c r="K164" s="53"/>
      <c r="L164" s="54">
        <f>SUM(L155:L163)</f>
        <v>145.04999999999998</v>
      </c>
      <c r="M164" s="77"/>
    </row>
    <row r="165" spans="1:13" ht="22.5" customHeight="1">
      <c r="A165" s="81">
        <v>2</v>
      </c>
      <c r="B165" s="82">
        <v>4</v>
      </c>
      <c r="C165" s="108" t="s">
        <v>38</v>
      </c>
      <c r="D165" s="109"/>
      <c r="E165" s="85"/>
      <c r="F165" s="86">
        <f>F154+F164</f>
        <v>1293</v>
      </c>
      <c r="G165" s="86">
        <f>G154+G164</f>
        <v>51.947000000000003</v>
      </c>
      <c r="H165" s="86">
        <f>H154+H164</f>
        <v>44.402000000000001</v>
      </c>
      <c r="I165" s="86">
        <f t="shared" ref="I165" si="30">I154+I164</f>
        <v>203.33799999999999</v>
      </c>
      <c r="J165" s="86">
        <f t="shared" ref="J165:L165" si="31">J154+J164</f>
        <v>1427.028</v>
      </c>
      <c r="K165" s="53"/>
      <c r="L165" s="54">
        <f t="shared" si="31"/>
        <v>270.08999999999997</v>
      </c>
      <c r="M165" s="77"/>
    </row>
    <row r="166" spans="1:13" ht="22.5" customHeight="1">
      <c r="A166" s="74">
        <v>2</v>
      </c>
      <c r="B166" s="75">
        <v>5</v>
      </c>
      <c r="C166" s="76" t="s">
        <v>21</v>
      </c>
      <c r="D166" s="76" t="s">
        <v>31</v>
      </c>
      <c r="E166" s="12" t="s">
        <v>63</v>
      </c>
      <c r="F166" s="16">
        <v>90</v>
      </c>
      <c r="G166" s="16">
        <f>F166*8.73/90</f>
        <v>8.73</v>
      </c>
      <c r="H166" s="16">
        <f>F166*12.42/90</f>
        <v>12.42</v>
      </c>
      <c r="I166" s="16">
        <f>F166*1.53/90</f>
        <v>1.5299999999999998</v>
      </c>
      <c r="J166" s="16">
        <f>F166*152.82/90</f>
        <v>152.82</v>
      </c>
      <c r="K166" s="19" t="s">
        <v>119</v>
      </c>
      <c r="L166" s="59">
        <v>63.69</v>
      </c>
      <c r="M166" s="77"/>
    </row>
    <row r="167" spans="1:13" ht="22.5" customHeight="1">
      <c r="A167" s="74"/>
      <c r="B167" s="75"/>
      <c r="C167" s="76"/>
      <c r="D167" s="78" t="s">
        <v>32</v>
      </c>
      <c r="E167" s="4" t="s">
        <v>33</v>
      </c>
      <c r="F167" s="15">
        <v>150</v>
      </c>
      <c r="G167" s="17">
        <f>F167*5.33/150-0.01</f>
        <v>5.32</v>
      </c>
      <c r="H167" s="17">
        <f>F167*3/150</f>
        <v>3</v>
      </c>
      <c r="I167" s="17">
        <f>F167*32.4/150</f>
        <v>32.4</v>
      </c>
      <c r="J167" s="17">
        <f>F167*177.75/150</f>
        <v>177.75</v>
      </c>
      <c r="K167" s="52" t="s">
        <v>67</v>
      </c>
      <c r="L167" s="59">
        <v>9.91</v>
      </c>
      <c r="M167" s="77"/>
    </row>
    <row r="168" spans="1:13" ht="22.5" customHeight="1">
      <c r="A168" s="74"/>
      <c r="B168" s="75"/>
      <c r="C168" s="76"/>
      <c r="D168" s="76" t="s">
        <v>23</v>
      </c>
      <c r="E168" s="5" t="s">
        <v>41</v>
      </c>
      <c r="F168" s="17">
        <v>200</v>
      </c>
      <c r="G168" s="17">
        <v>0</v>
      </c>
      <c r="H168" s="17">
        <v>0</v>
      </c>
      <c r="I168" s="17">
        <v>12</v>
      </c>
      <c r="J168" s="17">
        <v>48</v>
      </c>
      <c r="K168" s="19" t="s">
        <v>42</v>
      </c>
      <c r="L168" s="59">
        <v>12.58</v>
      </c>
      <c r="M168" s="77"/>
    </row>
    <row r="169" spans="1:13" ht="22.5" customHeight="1">
      <c r="A169" s="74"/>
      <c r="B169" s="75"/>
      <c r="C169" s="76"/>
      <c r="D169" s="76" t="s">
        <v>35</v>
      </c>
      <c r="E169" s="13" t="s">
        <v>26</v>
      </c>
      <c r="F169" s="15">
        <v>50</v>
      </c>
      <c r="G169" s="15">
        <f>F169*6.1/50</f>
        <v>6.1</v>
      </c>
      <c r="H169" s="15">
        <f>F169*3.7/50</f>
        <v>3.7</v>
      </c>
      <c r="I169" s="15">
        <f>17.5*F169/50</f>
        <v>17.5</v>
      </c>
      <c r="J169" s="15">
        <f>F169*127.7/50</f>
        <v>127.7</v>
      </c>
      <c r="K169" s="52" t="s">
        <v>89</v>
      </c>
      <c r="L169" s="59">
        <v>34.44</v>
      </c>
      <c r="M169" s="77"/>
    </row>
    <row r="170" spans="1:13" ht="22.5" customHeight="1">
      <c r="A170" s="74"/>
      <c r="B170" s="75"/>
      <c r="C170" s="76"/>
      <c r="D170" s="76" t="s">
        <v>37</v>
      </c>
      <c r="E170" s="4" t="s">
        <v>123</v>
      </c>
      <c r="F170" s="17">
        <v>45</v>
      </c>
      <c r="G170" s="17">
        <f>SUM(F170*2.8/50)</f>
        <v>2.5199999999999996</v>
      </c>
      <c r="H170" s="17">
        <f>SUM(F170*0.55/50)</f>
        <v>0.49500000000000005</v>
      </c>
      <c r="I170" s="17">
        <f>SUM(F170*24.7/50)</f>
        <v>22.23</v>
      </c>
      <c r="J170" s="17">
        <f>SUM(F170*114.95/50)</f>
        <v>103.455</v>
      </c>
      <c r="K170" s="19" t="s">
        <v>39</v>
      </c>
      <c r="L170" s="56">
        <v>4.42</v>
      </c>
      <c r="M170" s="77"/>
    </row>
    <row r="171" spans="1:13" ht="22.5" customHeight="1">
      <c r="A171" s="74"/>
      <c r="B171" s="75"/>
      <c r="C171" s="76"/>
      <c r="D171" s="78"/>
      <c r="E171" s="5"/>
      <c r="F171" s="3"/>
      <c r="G171" s="3"/>
      <c r="H171" s="3"/>
      <c r="I171" s="3"/>
      <c r="J171" s="3"/>
      <c r="K171" s="52"/>
      <c r="L171" s="22"/>
      <c r="M171" s="77"/>
    </row>
    <row r="172" spans="1:13" ht="22.5" customHeight="1">
      <c r="A172" s="81"/>
      <c r="B172" s="82"/>
      <c r="C172" s="83"/>
      <c r="D172" s="84" t="s">
        <v>27</v>
      </c>
      <c r="E172" s="85"/>
      <c r="F172" s="86">
        <f>SUM(F166:F171)</f>
        <v>535</v>
      </c>
      <c r="G172" s="86">
        <f>SUM(G166:G171)+0.01</f>
        <v>22.68</v>
      </c>
      <c r="H172" s="86">
        <f>SUM(H166:H171)</f>
        <v>19.615000000000002</v>
      </c>
      <c r="I172" s="86">
        <f>SUM(I166:I171)</f>
        <v>85.66</v>
      </c>
      <c r="J172" s="86">
        <f>SUM(J166:J171)</f>
        <v>609.72500000000002</v>
      </c>
      <c r="K172" s="53"/>
      <c r="L172" s="54">
        <f>SUM(L166:L171)</f>
        <v>125.03999999999999</v>
      </c>
      <c r="M172" s="77"/>
    </row>
    <row r="173" spans="1:13" ht="30" customHeight="1">
      <c r="A173" s="74">
        <v>2</v>
      </c>
      <c r="B173" s="75">
        <v>5</v>
      </c>
      <c r="C173" s="76" t="s">
        <v>28</v>
      </c>
      <c r="D173" s="76" t="s">
        <v>29</v>
      </c>
      <c r="E173" s="12" t="s">
        <v>120</v>
      </c>
      <c r="F173" s="16">
        <v>60</v>
      </c>
      <c r="G173" s="16">
        <f>F173*2.16/60</f>
        <v>2.1600000000000006</v>
      </c>
      <c r="H173" s="16">
        <f>F173*4.5/60</f>
        <v>4.5</v>
      </c>
      <c r="I173" s="16">
        <f>F173*9.9/60</f>
        <v>9.9</v>
      </c>
      <c r="J173" s="16">
        <f>F173*88.8/60</f>
        <v>88.8</v>
      </c>
      <c r="K173" s="19" t="s">
        <v>121</v>
      </c>
      <c r="L173" s="22">
        <v>10.11</v>
      </c>
      <c r="M173" s="77"/>
    </row>
    <row r="174" spans="1:13" ht="29.25" customHeight="1">
      <c r="A174" s="74"/>
      <c r="B174" s="75"/>
      <c r="C174" s="76"/>
      <c r="D174" s="76" t="s">
        <v>30</v>
      </c>
      <c r="E174" s="5" t="s">
        <v>150</v>
      </c>
      <c r="F174" s="20">
        <v>200</v>
      </c>
      <c r="G174" s="20">
        <f>F174*3.76/200</f>
        <v>3.76</v>
      </c>
      <c r="H174" s="20">
        <f>F174*6.41/200</f>
        <v>6.41</v>
      </c>
      <c r="I174" s="20">
        <f>F174*11.19/200</f>
        <v>11.19</v>
      </c>
      <c r="J174" s="20">
        <f>F174*117.6/200</f>
        <v>117.6</v>
      </c>
      <c r="K174" s="19" t="s">
        <v>68</v>
      </c>
      <c r="L174" s="22">
        <v>26.32</v>
      </c>
      <c r="M174" s="77"/>
    </row>
    <row r="175" spans="1:13" ht="22.5" customHeight="1">
      <c r="A175" s="74"/>
      <c r="B175" s="75"/>
      <c r="C175" s="76"/>
      <c r="D175" s="76" t="s">
        <v>31</v>
      </c>
      <c r="E175" s="4" t="s">
        <v>69</v>
      </c>
      <c r="F175" s="15">
        <v>100</v>
      </c>
      <c r="G175" s="17">
        <f>F175*11.7/90</f>
        <v>13</v>
      </c>
      <c r="H175" s="17">
        <f>F175*11.61/90</f>
        <v>12.9</v>
      </c>
      <c r="I175" s="17">
        <f>F175*5.76/90</f>
        <v>6.4</v>
      </c>
      <c r="J175" s="17">
        <f>F175*174.6/90</f>
        <v>194</v>
      </c>
      <c r="K175" s="55" t="s">
        <v>78</v>
      </c>
      <c r="L175" s="22">
        <v>79.66</v>
      </c>
      <c r="M175" s="77"/>
    </row>
    <row r="176" spans="1:13" ht="22.5" customHeight="1">
      <c r="A176" s="74"/>
      <c r="B176" s="75"/>
      <c r="C176" s="76"/>
      <c r="D176" s="76" t="s">
        <v>32</v>
      </c>
      <c r="E176" s="5" t="s">
        <v>70</v>
      </c>
      <c r="F176" s="20">
        <v>150</v>
      </c>
      <c r="G176" s="20">
        <f>F176*2.48/150</f>
        <v>2.48</v>
      </c>
      <c r="H176" s="20">
        <f>F176*3.98/150</f>
        <v>3.98</v>
      </c>
      <c r="I176" s="20">
        <f>F176*24.6/150</f>
        <v>24.6</v>
      </c>
      <c r="J176" s="20">
        <f>F176*144/150</f>
        <v>144</v>
      </c>
      <c r="K176" s="19" t="s">
        <v>71</v>
      </c>
      <c r="L176" s="22">
        <v>13.57</v>
      </c>
      <c r="M176" s="77"/>
    </row>
    <row r="177" spans="1:13" ht="22.5" customHeight="1">
      <c r="A177" s="74"/>
      <c r="B177" s="75"/>
      <c r="C177" s="76"/>
      <c r="D177" s="76" t="s">
        <v>85</v>
      </c>
      <c r="E177" s="4" t="s">
        <v>44</v>
      </c>
      <c r="F177" s="20">
        <v>200</v>
      </c>
      <c r="G177" s="20">
        <v>1</v>
      </c>
      <c r="H177" s="20">
        <v>0.1</v>
      </c>
      <c r="I177" s="20">
        <v>19.8</v>
      </c>
      <c r="J177" s="20">
        <v>84</v>
      </c>
      <c r="K177" s="19" t="s">
        <v>72</v>
      </c>
      <c r="L177" s="22">
        <v>6.78</v>
      </c>
      <c r="M177" s="77"/>
    </row>
    <row r="178" spans="1:13" ht="28.5" customHeight="1">
      <c r="A178" s="74"/>
      <c r="B178" s="75"/>
      <c r="C178" s="76"/>
      <c r="D178" s="76" t="s">
        <v>35</v>
      </c>
      <c r="E178" s="4" t="s">
        <v>36</v>
      </c>
      <c r="F178" s="17">
        <v>44</v>
      </c>
      <c r="G178" s="17">
        <f>SUM(F178*2.37/30)</f>
        <v>3.476</v>
      </c>
      <c r="H178" s="17">
        <f>SUM(F178*0.3/30)</f>
        <v>0.44</v>
      </c>
      <c r="I178" s="17">
        <f>SUM(F178*14.49/30)</f>
        <v>21.252000000000002</v>
      </c>
      <c r="J178" s="17">
        <f>SUM(F178*70.14/30)</f>
        <v>102.872</v>
      </c>
      <c r="K178" s="19" t="s">
        <v>25</v>
      </c>
      <c r="L178" s="22">
        <v>4.67</v>
      </c>
      <c r="M178" s="77"/>
    </row>
    <row r="179" spans="1:13" ht="22.5" customHeight="1">
      <c r="A179" s="74"/>
      <c r="B179" s="75"/>
      <c r="C179" s="76"/>
      <c r="D179" s="76" t="s">
        <v>37</v>
      </c>
      <c r="E179" s="4" t="s">
        <v>123</v>
      </c>
      <c r="F179" s="17">
        <v>40</v>
      </c>
      <c r="G179" s="17">
        <f>SUM(F179*1.68/30)</f>
        <v>2.2400000000000002</v>
      </c>
      <c r="H179" s="17">
        <f>SUM(F179*0.33/30)</f>
        <v>0.44000000000000006</v>
      </c>
      <c r="I179" s="17">
        <f>SUM(F179*14.82/30)</f>
        <v>19.759999999999998</v>
      </c>
      <c r="J179" s="17">
        <f>SUM(F179*68.97/30)</f>
        <v>91.960000000000008</v>
      </c>
      <c r="K179" s="19" t="s">
        <v>39</v>
      </c>
      <c r="L179" s="22">
        <v>3.94</v>
      </c>
      <c r="M179" s="77"/>
    </row>
    <row r="180" spans="1:13" ht="22.5" customHeight="1">
      <c r="A180" s="74"/>
      <c r="B180" s="75"/>
      <c r="C180" s="76"/>
      <c r="D180" s="78"/>
      <c r="E180" s="79"/>
      <c r="F180" s="88"/>
      <c r="G180" s="88"/>
      <c r="H180" s="88"/>
      <c r="I180" s="88"/>
      <c r="J180" s="88"/>
      <c r="K180" s="52"/>
      <c r="L180" s="22"/>
      <c r="M180" s="77"/>
    </row>
    <row r="181" spans="1:13" ht="22.5" customHeight="1">
      <c r="A181" s="74"/>
      <c r="B181" s="75"/>
      <c r="C181" s="76"/>
      <c r="D181" s="78"/>
      <c r="E181" s="79"/>
      <c r="F181" s="88"/>
      <c r="G181" s="88"/>
      <c r="H181" s="88"/>
      <c r="I181" s="88"/>
      <c r="J181" s="88"/>
      <c r="K181" s="52"/>
      <c r="L181" s="22"/>
      <c r="M181" s="77"/>
    </row>
    <row r="182" spans="1:13" ht="22.5" customHeight="1">
      <c r="A182" s="81"/>
      <c r="B182" s="82"/>
      <c r="C182" s="83"/>
      <c r="D182" s="84" t="s">
        <v>27</v>
      </c>
      <c r="E182" s="85"/>
      <c r="F182" s="86">
        <f>SUM(F173:F181)</f>
        <v>794</v>
      </c>
      <c r="G182" s="86">
        <f>SUM(G173:G181)-0.01</f>
        <v>28.105999999999998</v>
      </c>
      <c r="H182" s="86">
        <f>SUM(H173:H181)</f>
        <v>28.770000000000007</v>
      </c>
      <c r="I182" s="86">
        <f>SUM(I173:I181)</f>
        <v>112.90199999999999</v>
      </c>
      <c r="J182" s="86">
        <f>SUM(J173:J181)</f>
        <v>823.23199999999997</v>
      </c>
      <c r="K182" s="53"/>
      <c r="L182" s="54">
        <f>SUM(L173:L181)</f>
        <v>145.04999999999998</v>
      </c>
      <c r="M182" s="77"/>
    </row>
    <row r="183" spans="1:13" ht="22.5" customHeight="1">
      <c r="A183" s="94">
        <v>2</v>
      </c>
      <c r="B183" s="95">
        <v>5</v>
      </c>
      <c r="C183" s="110" t="s">
        <v>38</v>
      </c>
      <c r="D183" s="111"/>
      <c r="E183" s="85"/>
      <c r="F183" s="86">
        <f>F172+F182</f>
        <v>1329</v>
      </c>
      <c r="G183" s="86">
        <f>G172+G182-0.01</f>
        <v>50.776000000000003</v>
      </c>
      <c r="H183" s="86">
        <f>H172+H182-0.01</f>
        <v>48.375000000000007</v>
      </c>
      <c r="I183" s="86">
        <f>I172+I182</f>
        <v>198.56199999999998</v>
      </c>
      <c r="J183" s="86">
        <f>J172+J182</f>
        <v>1432.9569999999999</v>
      </c>
      <c r="K183" s="53"/>
      <c r="L183" s="54">
        <f>L172+L182</f>
        <v>270.08999999999997</v>
      </c>
      <c r="M183" s="77"/>
    </row>
    <row r="184" spans="1:13" ht="22.5" customHeight="1" thickBot="1">
      <c r="A184" s="96"/>
      <c r="B184" s="97"/>
      <c r="C184" s="112" t="s">
        <v>73</v>
      </c>
      <c r="D184" s="112"/>
      <c r="E184" s="112"/>
      <c r="F184" s="98">
        <f>(F23+F40+F58+F77+F94+F111+F129+F147+F165+F183)/(IF(F23=0,0,1)+IF(F40=0,0,1)+IF(F58=0,0,1)+IF(F77=0,0,1)+IF(F94=0,0,1)+IF(F111=0,0,1)+IF(F129=0,0,1)+IF(F147=0,0,1)+IF(F165=0,0,1)+IF(F183=0,0,1))</f>
        <v>1320.4</v>
      </c>
      <c r="G184" s="98">
        <f>(G23+G40+G58+G77+G94+G111+G129+G147+G165+G183)/(IF(G23=0,0,1)+IF(G40=0,0,1)+IF(G58=0,0,1)+IF(G77=0,0,1)+IF(G94=0,0,1)+IF(G111=0,0,1)+IF(G129=0,0,1)+IF(G147=0,0,1)+IF(G165=0,0,1)+IF(G183=0,0,1))</f>
        <v>54.027450000000002</v>
      </c>
      <c r="H184" s="98">
        <f>(H23+H40+H58+H77+H94+H111+H129+H147+H165+H183)/(IF(H23=0,0,1)+IF(H40=0,0,1)+IF(H58=0,0,1)+IF(H77=0,0,1)+IF(H94=0,0,1)+IF(H111=0,0,1)+IF(H129=0,0,1)+IF(H147=0,0,1)+IF(H165=0,0,1)+IF(H183=0,0,1))</f>
        <v>51.332749999999997</v>
      </c>
      <c r="I184" s="98">
        <f>(I23+I40+I58+I77+I94+I111+I129+I147+I165+I183)/(IF(I23=0,0,1)+IF(I40=0,0,1)+IF(I58=0,0,1)+IF(I77=0,0,1)+IF(I94=0,0,1)+IF(I111=0,0,1)+IF(I129=0,0,1)+IF(I147=0,0,1)+IF(I165=0,0,1)+IF(I183=0,0,1))</f>
        <v>198.68829999999997</v>
      </c>
      <c r="J184" s="98">
        <f>(J23+J40+J58+J77+J94+J111+J129+J147+J165+J183)/(IF(J23=0,0,1)+IF(J40=0,0,1)+IF(J58=0,0,1)+IF(J77=0,0,1)+IF(J94=0,0,1)+IF(J111=0,0,1)+IF(J129=0,0,1)+IF(J147=0,0,1)+IF(J165=0,0,1)+IF(J183=0,0,1))</f>
        <v>1478.9722500000003</v>
      </c>
      <c r="K184" s="60"/>
      <c r="L184" s="61">
        <f>(L23+L40+L58+L77+L94+L111+L129+L147+L165+L183)/(IF(L23=0,0,1)+IF(L40=0,0,1)+IF(L58=0,0,1)+IF(L77=0,0,1)+IF(L94=0,0,1)+IF(L111=0,0,1)+IF(L129=0,0,1)+IF(L147=0,0,1)+IF(L165=0,0,1)+IF(L183=0,0,1))</f>
        <v>270.09000000000003</v>
      </c>
      <c r="M184" s="77"/>
    </row>
    <row r="185" spans="1:13" ht="22.5" customHeight="1">
      <c r="C185" s="99"/>
      <c r="D185" s="99"/>
      <c r="E185" s="100"/>
      <c r="F185" s="77"/>
      <c r="G185" s="77"/>
      <c r="H185" s="77"/>
      <c r="I185" s="77"/>
      <c r="J185" s="77"/>
      <c r="K185" s="35"/>
      <c r="L185" s="23"/>
      <c r="M185" s="77"/>
    </row>
    <row r="186" spans="1:13" ht="22.5" customHeight="1">
      <c r="C186" s="99"/>
      <c r="D186" s="99"/>
      <c r="E186" s="100"/>
      <c r="F186" s="77"/>
      <c r="G186" s="77"/>
      <c r="H186" s="77"/>
      <c r="I186" s="77"/>
      <c r="J186" s="77"/>
      <c r="K186" s="35"/>
      <c r="L186" s="23"/>
      <c r="M186" s="77"/>
    </row>
    <row r="187" spans="1:13" ht="22.5" customHeight="1">
      <c r="C187" s="99"/>
      <c r="D187" s="99"/>
      <c r="E187" s="100"/>
      <c r="F187" s="77"/>
      <c r="G187" s="77"/>
      <c r="H187" s="77"/>
      <c r="I187" s="77"/>
      <c r="J187" s="77"/>
      <c r="K187" s="35"/>
      <c r="L187" s="23"/>
      <c r="M187" s="77"/>
    </row>
    <row r="188" spans="1:13" ht="22.5" customHeight="1">
      <c r="C188" s="99"/>
      <c r="D188" s="99"/>
      <c r="E188" s="100"/>
      <c r="F188" s="77"/>
      <c r="G188" s="77"/>
      <c r="H188" s="77"/>
      <c r="I188" s="77"/>
      <c r="J188" s="77"/>
      <c r="K188" s="35"/>
      <c r="L188" s="23"/>
      <c r="M188" s="77"/>
    </row>
    <row r="189" spans="1:13" ht="22.5" customHeight="1">
      <c r="C189" s="99"/>
      <c r="D189" s="99"/>
      <c r="E189" s="100"/>
      <c r="F189" s="77"/>
      <c r="G189" s="77"/>
      <c r="H189" s="77"/>
      <c r="I189" s="77"/>
      <c r="J189" s="77"/>
      <c r="K189" s="35"/>
      <c r="L189" s="23"/>
      <c r="M189" s="77"/>
    </row>
    <row r="190" spans="1:13" ht="22.5" customHeight="1">
      <c r="C190" s="99"/>
      <c r="D190" s="99"/>
      <c r="E190" s="100"/>
      <c r="F190" s="77"/>
      <c r="G190" s="77"/>
      <c r="H190" s="77"/>
      <c r="I190" s="77"/>
      <c r="J190" s="77"/>
      <c r="K190" s="35"/>
      <c r="L190" s="23"/>
      <c r="M190" s="77"/>
    </row>
    <row r="191" spans="1:13" ht="22.5" customHeight="1">
      <c r="C191" s="99"/>
      <c r="D191" s="99"/>
      <c r="E191" s="100"/>
      <c r="F191" s="77"/>
      <c r="G191" s="77"/>
      <c r="H191" s="77"/>
      <c r="I191" s="77"/>
      <c r="J191" s="77"/>
      <c r="K191" s="35"/>
      <c r="L191" s="23"/>
      <c r="M191" s="77"/>
    </row>
    <row r="192" spans="1:13" ht="22.5" customHeight="1">
      <c r="C192" s="99"/>
      <c r="D192" s="99"/>
      <c r="E192" s="100"/>
      <c r="F192" s="77"/>
      <c r="G192" s="77"/>
      <c r="H192" s="77"/>
      <c r="I192" s="77"/>
      <c r="J192" s="77"/>
      <c r="K192" s="35"/>
      <c r="L192" s="23"/>
      <c r="M192" s="77"/>
    </row>
    <row r="193" spans="3:13" ht="22.5" customHeight="1">
      <c r="C193" s="99"/>
      <c r="D193" s="99"/>
      <c r="E193" s="100"/>
      <c r="F193" s="77"/>
      <c r="G193" s="77"/>
      <c r="H193" s="77"/>
      <c r="I193" s="77"/>
      <c r="J193" s="77"/>
      <c r="K193" s="35"/>
      <c r="L193" s="23"/>
      <c r="M193" s="77"/>
    </row>
    <row r="194" spans="3:13" ht="22.5" customHeight="1">
      <c r="C194" s="99"/>
      <c r="D194" s="99"/>
      <c r="E194" s="100"/>
      <c r="F194" s="77"/>
      <c r="G194" s="77"/>
      <c r="H194" s="77"/>
      <c r="I194" s="77"/>
      <c r="J194" s="77"/>
      <c r="K194" s="35"/>
      <c r="L194" s="23"/>
      <c r="M194" s="77"/>
    </row>
    <row r="195" spans="3:13" ht="22.5" customHeight="1">
      <c r="C195" s="99"/>
      <c r="D195" s="99"/>
      <c r="E195" s="101"/>
      <c r="F195" s="102"/>
      <c r="G195" s="102"/>
      <c r="H195" s="102"/>
      <c r="I195" s="102"/>
      <c r="J195" s="102"/>
      <c r="K195" s="36"/>
      <c r="L195" s="24"/>
      <c r="M195" s="102"/>
    </row>
    <row r="196" spans="3:13" ht="22.5" customHeight="1">
      <c r="C196" s="99"/>
      <c r="D196" s="99"/>
      <c r="E196" s="10"/>
      <c r="F196" s="6"/>
      <c r="G196" s="7"/>
      <c r="H196" s="7"/>
      <c r="I196" s="7"/>
      <c r="J196" s="7"/>
      <c r="K196" s="33"/>
      <c r="L196" s="25"/>
      <c r="M196" s="25"/>
    </row>
    <row r="197" spans="3:13" ht="22.5" customHeight="1">
      <c r="C197" s="99"/>
      <c r="D197" s="99"/>
      <c r="E197" s="103"/>
      <c r="F197" s="8"/>
      <c r="G197" s="7"/>
      <c r="H197" s="7"/>
      <c r="I197" s="7"/>
      <c r="J197" s="7"/>
      <c r="K197" s="33"/>
      <c r="L197" s="25"/>
      <c r="M197" s="25"/>
    </row>
    <row r="198" spans="3:13" ht="22.5" customHeight="1">
      <c r="C198" s="99"/>
      <c r="D198" s="99"/>
      <c r="E198" s="9"/>
      <c r="F198" s="7"/>
      <c r="G198" s="7"/>
      <c r="H198" s="7"/>
      <c r="I198" s="7"/>
      <c r="J198" s="7"/>
      <c r="K198" s="33"/>
      <c r="L198" s="24"/>
      <c r="M198" s="102"/>
    </row>
    <row r="199" spans="3:13" ht="22.5" customHeight="1">
      <c r="C199" s="99"/>
      <c r="D199" s="99"/>
      <c r="E199" s="9"/>
      <c r="F199" s="7"/>
      <c r="G199" s="7"/>
      <c r="H199" s="7"/>
      <c r="I199" s="7"/>
      <c r="J199" s="7"/>
      <c r="K199" s="33"/>
      <c r="L199" s="24"/>
      <c r="M199" s="102"/>
    </row>
    <row r="200" spans="3:13" ht="22.5" customHeight="1">
      <c r="C200" s="99"/>
      <c r="D200" s="99"/>
      <c r="E200" s="9"/>
      <c r="F200" s="7"/>
      <c r="G200" s="7"/>
      <c r="H200" s="7"/>
      <c r="I200" s="7"/>
      <c r="J200" s="7"/>
      <c r="K200" s="33"/>
      <c r="L200" s="24"/>
      <c r="M200" s="102"/>
    </row>
    <row r="201" spans="3:13" ht="22.5" customHeight="1">
      <c r="C201" s="99"/>
      <c r="D201" s="99"/>
      <c r="E201" s="9"/>
      <c r="F201" s="7"/>
      <c r="G201" s="7"/>
      <c r="H201" s="7"/>
      <c r="I201" s="7"/>
      <c r="J201" s="7"/>
      <c r="K201" s="33"/>
      <c r="L201" s="24"/>
      <c r="M201" s="102"/>
    </row>
    <row r="202" spans="3:13" ht="22.5" customHeight="1">
      <c r="C202" s="99"/>
      <c r="D202" s="99"/>
      <c r="E202" s="10"/>
      <c r="F202" s="11"/>
      <c r="G202" s="7"/>
      <c r="H202" s="7"/>
      <c r="I202" s="7"/>
      <c r="J202" s="7"/>
      <c r="K202" s="36"/>
      <c r="L202" s="24"/>
      <c r="M202" s="102"/>
    </row>
    <row r="203" spans="3:13" ht="22.5" customHeight="1">
      <c r="C203" s="99"/>
      <c r="D203" s="99"/>
      <c r="E203" s="9"/>
      <c r="F203" s="7"/>
      <c r="G203" s="7"/>
      <c r="H203" s="7"/>
      <c r="I203" s="7"/>
      <c r="J203" s="7"/>
      <c r="K203" s="32"/>
      <c r="L203" s="24"/>
      <c r="M203" s="102"/>
    </row>
    <row r="204" spans="3:13" ht="22.5" customHeight="1">
      <c r="C204" s="99"/>
      <c r="D204" s="99"/>
      <c r="E204" s="9"/>
      <c r="F204" s="7"/>
      <c r="G204" s="7"/>
      <c r="H204" s="7"/>
      <c r="I204" s="7"/>
      <c r="J204" s="7"/>
      <c r="K204" s="32"/>
      <c r="L204" s="24"/>
      <c r="M204" s="102"/>
    </row>
    <row r="205" spans="3:13" ht="22.5" customHeight="1">
      <c r="C205" s="99"/>
      <c r="D205" s="99"/>
      <c r="E205" s="9"/>
      <c r="F205" s="7"/>
      <c r="G205" s="7"/>
      <c r="H205" s="7"/>
      <c r="I205" s="7"/>
      <c r="J205" s="7"/>
      <c r="K205" s="32"/>
      <c r="L205" s="24"/>
      <c r="M205" s="102"/>
    </row>
    <row r="206" spans="3:13" ht="22.5" customHeight="1">
      <c r="C206" s="99"/>
      <c r="D206" s="99"/>
      <c r="E206" s="9"/>
      <c r="F206" s="7"/>
      <c r="G206" s="7"/>
      <c r="H206" s="7"/>
      <c r="I206" s="7"/>
      <c r="J206" s="7"/>
      <c r="K206" s="32"/>
      <c r="L206" s="24"/>
      <c r="M206" s="102"/>
    </row>
    <row r="207" spans="3:13" ht="22.5" customHeight="1">
      <c r="C207" s="99"/>
      <c r="D207" s="99"/>
      <c r="E207" s="9"/>
      <c r="F207" s="7"/>
      <c r="G207" s="7"/>
      <c r="H207" s="7"/>
      <c r="I207" s="7"/>
      <c r="J207" s="7"/>
      <c r="K207" s="32"/>
      <c r="L207" s="24"/>
      <c r="M207" s="102"/>
    </row>
    <row r="208" spans="3:13" ht="22.5" customHeight="1">
      <c r="C208" s="99"/>
      <c r="D208" s="99"/>
      <c r="E208" s="6"/>
      <c r="F208" s="7"/>
      <c r="G208" s="7"/>
      <c r="H208" s="7"/>
      <c r="I208" s="7"/>
      <c r="J208" s="7"/>
      <c r="K208" s="33"/>
      <c r="L208" s="24"/>
      <c r="M208" s="102"/>
    </row>
    <row r="209" spans="3:13" ht="22.5" customHeight="1">
      <c r="C209" s="99"/>
      <c r="D209" s="99"/>
      <c r="E209" s="6"/>
      <c r="F209" s="7"/>
      <c r="G209" s="7"/>
      <c r="H209" s="7"/>
      <c r="I209" s="7"/>
      <c r="J209" s="7"/>
      <c r="K209" s="32"/>
      <c r="L209" s="24"/>
      <c r="M209" s="102"/>
    </row>
    <row r="210" spans="3:13" ht="22.5" customHeight="1">
      <c r="E210" s="2"/>
      <c r="F210" s="1"/>
      <c r="G210" s="1"/>
      <c r="H210" s="1"/>
      <c r="I210" s="1"/>
      <c r="J210" s="1"/>
      <c r="K210" s="37"/>
      <c r="L210" s="26"/>
      <c r="M210" s="105"/>
    </row>
    <row r="211" spans="3:13" ht="22.5" customHeight="1">
      <c r="E211" s="106"/>
      <c r="F211" s="105"/>
      <c r="G211" s="105"/>
      <c r="H211" s="105"/>
      <c r="I211" s="105"/>
      <c r="J211" s="105"/>
      <c r="K211" s="38"/>
      <c r="L211" s="26"/>
      <c r="M211" s="105"/>
    </row>
    <row r="212" spans="3:13" ht="22.5" customHeight="1">
      <c r="E212" s="106"/>
      <c r="F212" s="105"/>
      <c r="G212" s="105"/>
      <c r="H212" s="105"/>
      <c r="I212" s="105"/>
      <c r="J212" s="105"/>
      <c r="K212" s="38"/>
      <c r="L212" s="26"/>
      <c r="M212" s="105"/>
    </row>
  </sheetData>
  <mergeCells count="15">
    <mergeCell ref="C1:E1"/>
    <mergeCell ref="H1:K1"/>
    <mergeCell ref="H2:K2"/>
    <mergeCell ref="C23:D23"/>
    <mergeCell ref="C40:D40"/>
    <mergeCell ref="A2:F2"/>
    <mergeCell ref="C147:D147"/>
    <mergeCell ref="C165:D165"/>
    <mergeCell ref="C183:D183"/>
    <mergeCell ref="C184:E184"/>
    <mergeCell ref="C58:D58"/>
    <mergeCell ref="C77:D77"/>
    <mergeCell ref="C94:D94"/>
    <mergeCell ref="C111:D111"/>
    <mergeCell ref="C129:D129"/>
  </mergeCells>
  <pageMargins left="0.70866141732283505" right="0.70866141732283505" top="0.74803149606299202" bottom="0.74803149606299202" header="0.31496062992126" footer="0.31496062992126"/>
  <pageSetup paperSize="9" scale="76" orientation="landscape" r:id="rId1"/>
  <rowBreaks count="9" manualBreakCount="9">
    <brk id="23" max="11" man="1"/>
    <brk id="40" max="11" man="1"/>
    <brk id="58" max="11" man="1"/>
    <brk id="77" max="11" man="1"/>
    <brk id="94" max="11" man="1"/>
    <brk id="111" max="11" man="1"/>
    <brk id="129" max="11" man="1"/>
    <brk id="147" max="11" man="1"/>
    <brk id="165" max="11" man="1"/>
  </rowBreaks>
  <ignoredErrors>
    <ignoredError sqref="G8:G9 G174:J174 G176:J176 H8:H9 I8:I9 J8:J9 G46:J46 G169:J169 G98:J98" unlockedFormula="1"/>
    <ignoredError sqref="K15 K13 K24 K26 K67 K78 K158:K159 K166 K177 K173 K9 K85 K112 K123 K169" numberStoredAsText="1"/>
    <ignoredError sqref="G22 H93 I147 G154 G172 G1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2026-04-08T05:08:57Z</cp:lastPrinted>
  <dcterms:created xsi:type="dcterms:W3CDTF">2022-05-16T14:23:00Z</dcterms:created>
  <dcterms:modified xsi:type="dcterms:W3CDTF">2026-04-24T10:16:56Z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