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980"/>
  </bookViews>
  <sheets>
    <sheet name="Лист1" sheetId="1" r:id="rId1"/>
  </sheets>
  <definedNames>
    <definedName name="_xlnm.Print_Area" localSheetId="0">Лист1!$A$1:$L$188</definedName>
  </definedNames>
  <calcPr calcId="145621"/>
</workbook>
</file>

<file path=xl/calcChain.xml><?xml version="1.0" encoding="utf-8"?>
<calcChain xmlns="http://schemas.openxmlformats.org/spreadsheetml/2006/main">
  <c r="J178" i="1" l="1"/>
  <c r="I178" i="1"/>
  <c r="J169" i="1"/>
  <c r="I169" i="1"/>
  <c r="H169" i="1"/>
  <c r="G169" i="1"/>
  <c r="G132" i="1"/>
  <c r="L76" i="1"/>
  <c r="J32" i="1"/>
  <c r="H32" i="1"/>
  <c r="G32" i="1"/>
  <c r="J14" i="1"/>
  <c r="I14" i="1"/>
  <c r="H14" i="1"/>
  <c r="G14" i="1"/>
  <c r="F76" i="1" l="1"/>
  <c r="J73" i="1"/>
  <c r="I73" i="1"/>
  <c r="H73" i="1"/>
  <c r="G73" i="1"/>
  <c r="J72" i="1"/>
  <c r="I72" i="1"/>
  <c r="H72" i="1"/>
  <c r="G72" i="1"/>
  <c r="J70" i="1"/>
  <c r="I70" i="1"/>
  <c r="H70" i="1"/>
  <c r="G70" i="1"/>
  <c r="J69" i="1"/>
  <c r="I69" i="1"/>
  <c r="H69" i="1"/>
  <c r="G69" i="1"/>
  <c r="J68" i="1"/>
  <c r="I68" i="1"/>
  <c r="H68" i="1"/>
  <c r="G68" i="1"/>
  <c r="G76" i="1" s="1"/>
  <c r="J76" i="1"/>
  <c r="I76" i="1"/>
  <c r="F66" i="1"/>
  <c r="J64" i="1"/>
  <c r="I64" i="1"/>
  <c r="H64" i="1"/>
  <c r="G64" i="1"/>
  <c r="J63" i="1"/>
  <c r="I63" i="1"/>
  <c r="H63" i="1"/>
  <c r="G63" i="1"/>
  <c r="J61" i="1"/>
  <c r="J66" i="1" s="1"/>
  <c r="I61" i="1"/>
  <c r="I66" i="1" s="1"/>
  <c r="H61" i="1"/>
  <c r="H66" i="1" s="1"/>
  <c r="G61" i="1"/>
  <c r="G66" i="1" s="1"/>
  <c r="H76" i="1" l="1"/>
  <c r="H77" i="1" s="1"/>
  <c r="L77" i="1"/>
  <c r="J77" i="1"/>
  <c r="G77" i="1"/>
  <c r="F77" i="1"/>
  <c r="I77" i="1"/>
  <c r="F84" i="1"/>
  <c r="H84" i="1"/>
  <c r="H85" i="1"/>
  <c r="H94" i="1" s="1"/>
  <c r="I94" i="1"/>
  <c r="F94" i="1"/>
  <c r="L95" i="1"/>
  <c r="G96" i="1"/>
  <c r="H96" i="1"/>
  <c r="I96" i="1"/>
  <c r="J96" i="1"/>
  <c r="J94" i="1" l="1"/>
  <c r="H95" i="1"/>
  <c r="J84" i="1"/>
  <c r="F95" i="1"/>
  <c r="G94" i="1"/>
  <c r="G84" i="1"/>
  <c r="I84" i="1"/>
  <c r="I95" i="1" s="1"/>
  <c r="J6" i="1"/>
  <c r="G6" i="1"/>
  <c r="J95" i="1" l="1"/>
  <c r="G95" i="1"/>
  <c r="J7" i="1"/>
  <c r="L157" i="1" l="1"/>
  <c r="J172" i="1" l="1"/>
  <c r="I172" i="1"/>
  <c r="H172" i="1"/>
  <c r="G172" i="1"/>
  <c r="J17" i="1" l="1"/>
  <c r="I17" i="1"/>
  <c r="H17" i="1"/>
  <c r="G17" i="1"/>
  <c r="I7" i="1"/>
  <c r="H7" i="1"/>
  <c r="G7" i="1"/>
  <c r="I6" i="1"/>
  <c r="H6" i="1"/>
  <c r="J176" i="1" l="1"/>
  <c r="I176" i="1"/>
  <c r="H176" i="1"/>
  <c r="G176" i="1"/>
  <c r="J177" i="1" l="1"/>
  <c r="J159" i="1"/>
  <c r="I159" i="1"/>
  <c r="H159" i="1"/>
  <c r="G159" i="1"/>
  <c r="J158" i="1"/>
  <c r="I158" i="1"/>
  <c r="H158" i="1"/>
  <c r="G158" i="1"/>
  <c r="J161" i="1"/>
  <c r="I161" i="1"/>
  <c r="H161" i="1"/>
  <c r="G161" i="1"/>
  <c r="J160" i="1"/>
  <c r="I160" i="1"/>
  <c r="H160" i="1"/>
  <c r="G160" i="1"/>
  <c r="J164" i="1"/>
  <c r="I164" i="1"/>
  <c r="H164" i="1"/>
  <c r="G164" i="1"/>
  <c r="J163" i="1"/>
  <c r="I163" i="1"/>
  <c r="H163" i="1"/>
  <c r="G163" i="1"/>
  <c r="F157" i="1"/>
  <c r="G154" i="1"/>
  <c r="H154" i="1"/>
  <c r="I154" i="1"/>
  <c r="J154" i="1"/>
  <c r="G155" i="1"/>
  <c r="H155" i="1"/>
  <c r="I155" i="1"/>
  <c r="J155" i="1"/>
  <c r="J152" i="1"/>
  <c r="I152" i="1"/>
  <c r="H152" i="1"/>
  <c r="G152" i="1"/>
  <c r="J151" i="1"/>
  <c r="I151" i="1"/>
  <c r="H151" i="1"/>
  <c r="G151" i="1"/>
  <c r="J140" i="1"/>
  <c r="I140" i="1"/>
  <c r="H140" i="1"/>
  <c r="G140" i="1"/>
  <c r="J139" i="1"/>
  <c r="I139" i="1"/>
  <c r="H139" i="1"/>
  <c r="G139" i="1"/>
  <c r="J142" i="1"/>
  <c r="I142" i="1"/>
  <c r="H142" i="1"/>
  <c r="G142" i="1"/>
  <c r="J145" i="1"/>
  <c r="I145" i="1"/>
  <c r="H145" i="1"/>
  <c r="G145" i="1"/>
  <c r="J144" i="1"/>
  <c r="I144" i="1"/>
  <c r="H144" i="1"/>
  <c r="G144" i="1"/>
  <c r="J135" i="1"/>
  <c r="I135" i="1"/>
  <c r="H135" i="1"/>
  <c r="G135" i="1"/>
  <c r="J134" i="1"/>
  <c r="I134" i="1"/>
  <c r="H134" i="1"/>
  <c r="G134" i="1"/>
  <c r="J132" i="1"/>
  <c r="I132" i="1"/>
  <c r="H132" i="1"/>
  <c r="H138" i="1" s="1"/>
  <c r="J124" i="1"/>
  <c r="I124" i="1"/>
  <c r="H124" i="1"/>
  <c r="G124" i="1"/>
  <c r="J123" i="1"/>
  <c r="I123" i="1"/>
  <c r="H123" i="1"/>
  <c r="G123" i="1"/>
  <c r="J126" i="1"/>
  <c r="I126" i="1"/>
  <c r="H126" i="1"/>
  <c r="G126" i="1"/>
  <c r="J122" i="1"/>
  <c r="I122" i="1"/>
  <c r="H122" i="1"/>
  <c r="G122" i="1"/>
  <c r="J121" i="1"/>
  <c r="I121" i="1"/>
  <c r="H121" i="1"/>
  <c r="G121" i="1"/>
  <c r="J114" i="1"/>
  <c r="I114" i="1"/>
  <c r="H114" i="1"/>
  <c r="G114" i="1"/>
  <c r="F112" i="1"/>
  <c r="J108" i="1"/>
  <c r="I108" i="1"/>
  <c r="H108" i="1"/>
  <c r="G108" i="1"/>
  <c r="J104" i="1"/>
  <c r="I104" i="1"/>
  <c r="H104" i="1"/>
  <c r="G104" i="1"/>
  <c r="J103" i="1"/>
  <c r="I103" i="1"/>
  <c r="H103" i="1"/>
  <c r="G103" i="1"/>
  <c r="J98" i="1"/>
  <c r="I98" i="1"/>
  <c r="H98" i="1"/>
  <c r="G98" i="1"/>
  <c r="J99" i="1"/>
  <c r="I99" i="1"/>
  <c r="H99" i="1"/>
  <c r="G99" i="1"/>
  <c r="J100" i="1"/>
  <c r="I100" i="1"/>
  <c r="H100" i="1"/>
  <c r="G100" i="1"/>
  <c r="I157" i="1" l="1"/>
  <c r="G157" i="1"/>
  <c r="H157" i="1"/>
  <c r="J157" i="1"/>
  <c r="J106" i="1"/>
  <c r="I106" i="1"/>
  <c r="H106" i="1"/>
  <c r="G106" i="1"/>
  <c r="J50" i="1" l="1"/>
  <c r="I50" i="1"/>
  <c r="H50" i="1"/>
  <c r="G50" i="1"/>
  <c r="J49" i="1"/>
  <c r="I49" i="1"/>
  <c r="H49" i="1"/>
  <c r="G49" i="1"/>
  <c r="H51" i="1"/>
  <c r="J51" i="1"/>
  <c r="I51" i="1"/>
  <c r="G51" i="1"/>
  <c r="J55" i="1"/>
  <c r="I55" i="1"/>
  <c r="H55" i="1"/>
  <c r="G55" i="1"/>
  <c r="J54" i="1"/>
  <c r="I54" i="1"/>
  <c r="H54" i="1"/>
  <c r="G54" i="1"/>
  <c r="J52" i="1"/>
  <c r="I52" i="1"/>
  <c r="H52" i="1"/>
  <c r="G52" i="1"/>
  <c r="H31" i="1" l="1"/>
  <c r="J33" i="1"/>
  <c r="I33" i="1"/>
  <c r="H33" i="1"/>
  <c r="G33" i="1"/>
  <c r="J35" i="1"/>
  <c r="I35" i="1"/>
  <c r="H35" i="1"/>
  <c r="G35" i="1"/>
  <c r="I32" i="1"/>
  <c r="J31" i="1"/>
  <c r="I31" i="1"/>
  <c r="G31" i="1"/>
  <c r="J25" i="1" l="1"/>
  <c r="I25" i="1"/>
  <c r="H25" i="1"/>
  <c r="G25" i="1"/>
  <c r="J24" i="1"/>
  <c r="I24" i="1"/>
  <c r="H24" i="1"/>
  <c r="G24" i="1"/>
  <c r="G27" i="1"/>
  <c r="H27" i="1"/>
  <c r="I27" i="1"/>
  <c r="J27" i="1"/>
  <c r="G28" i="1"/>
  <c r="H28" i="1"/>
  <c r="I28" i="1"/>
  <c r="J28" i="1"/>
  <c r="J8" i="1"/>
  <c r="I8" i="1"/>
  <c r="H8" i="1"/>
  <c r="G8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J10" i="1"/>
  <c r="I10" i="1"/>
  <c r="H10" i="1"/>
  <c r="G10" i="1"/>
  <c r="J9" i="1"/>
  <c r="I9" i="1"/>
  <c r="H9" i="1"/>
  <c r="G9" i="1"/>
  <c r="I12" i="1" l="1"/>
  <c r="J12" i="1"/>
  <c r="I177" i="1"/>
  <c r="H177" i="1"/>
  <c r="G177" i="1"/>
  <c r="J117" i="1"/>
  <c r="I117" i="1"/>
  <c r="H117" i="1"/>
  <c r="G117" i="1"/>
  <c r="J116" i="1"/>
  <c r="I116" i="1"/>
  <c r="H116" i="1"/>
  <c r="G116" i="1"/>
  <c r="L184" i="1" l="1"/>
  <c r="F184" i="1"/>
  <c r="J181" i="1"/>
  <c r="I181" i="1"/>
  <c r="H181" i="1"/>
  <c r="G181" i="1"/>
  <c r="J180" i="1"/>
  <c r="I180" i="1"/>
  <c r="I184" i="1" s="1"/>
  <c r="H180" i="1"/>
  <c r="H184" i="1" s="1"/>
  <c r="G180" i="1"/>
  <c r="H178" i="1"/>
  <c r="G178" i="1"/>
  <c r="J184" i="1"/>
  <c r="L175" i="1"/>
  <c r="F175" i="1"/>
  <c r="F185" i="1" s="1"/>
  <c r="J173" i="1"/>
  <c r="I173" i="1"/>
  <c r="H173" i="1"/>
  <c r="G173" i="1"/>
  <c r="J170" i="1"/>
  <c r="I170" i="1"/>
  <c r="H170" i="1"/>
  <c r="G170" i="1"/>
  <c r="J175" i="1"/>
  <c r="I175" i="1"/>
  <c r="H175" i="1"/>
  <c r="G175" i="1"/>
  <c r="L167" i="1"/>
  <c r="L168" i="1" s="1"/>
  <c r="F167" i="1"/>
  <c r="F168" i="1" s="1"/>
  <c r="G167" i="1"/>
  <c r="B149" i="1"/>
  <c r="A149" i="1"/>
  <c r="L148" i="1"/>
  <c r="F148" i="1"/>
  <c r="J148" i="1"/>
  <c r="I148" i="1"/>
  <c r="G148" i="1"/>
  <c r="H148" i="1"/>
  <c r="B139" i="1"/>
  <c r="A139" i="1"/>
  <c r="L138" i="1"/>
  <c r="F138" i="1"/>
  <c r="B131" i="1"/>
  <c r="A131" i="1"/>
  <c r="L130" i="1"/>
  <c r="F130" i="1"/>
  <c r="J127" i="1"/>
  <c r="I127" i="1"/>
  <c r="H127" i="1"/>
  <c r="G127" i="1"/>
  <c r="J130" i="1"/>
  <c r="I130" i="1"/>
  <c r="H130" i="1"/>
  <c r="G130" i="1"/>
  <c r="B121" i="1"/>
  <c r="A121" i="1"/>
  <c r="L120" i="1"/>
  <c r="F120" i="1"/>
  <c r="F131" i="1" s="1"/>
  <c r="J120" i="1"/>
  <c r="I120" i="1"/>
  <c r="I131" i="1" s="1"/>
  <c r="H120" i="1"/>
  <c r="G120" i="1"/>
  <c r="G131" i="1" s="1"/>
  <c r="B113" i="1"/>
  <c r="A113" i="1"/>
  <c r="L112" i="1"/>
  <c r="J109" i="1"/>
  <c r="I109" i="1"/>
  <c r="H109" i="1"/>
  <c r="G109" i="1"/>
  <c r="J105" i="1"/>
  <c r="J112" i="1" s="1"/>
  <c r="I105" i="1"/>
  <c r="H105" i="1"/>
  <c r="H112" i="1" s="1"/>
  <c r="G105" i="1"/>
  <c r="G112" i="1" s="1"/>
  <c r="B103" i="1"/>
  <c r="A103" i="1"/>
  <c r="L102" i="1"/>
  <c r="F102" i="1"/>
  <c r="I102" i="1"/>
  <c r="H102" i="1"/>
  <c r="B95" i="1"/>
  <c r="A95" i="1"/>
  <c r="B85" i="1"/>
  <c r="A85" i="1"/>
  <c r="B59" i="1"/>
  <c r="A59" i="1"/>
  <c r="L58" i="1"/>
  <c r="F58" i="1"/>
  <c r="B49" i="1"/>
  <c r="A49" i="1"/>
  <c r="L48" i="1"/>
  <c r="F48" i="1"/>
  <c r="J46" i="1"/>
  <c r="I46" i="1"/>
  <c r="H46" i="1"/>
  <c r="G46" i="1"/>
  <c r="J45" i="1"/>
  <c r="I45" i="1"/>
  <c r="H45" i="1"/>
  <c r="G45" i="1"/>
  <c r="J43" i="1"/>
  <c r="I43" i="1"/>
  <c r="H43" i="1"/>
  <c r="G43" i="1"/>
  <c r="J42" i="1"/>
  <c r="J48" i="1" s="1"/>
  <c r="I42" i="1"/>
  <c r="I48" i="1" s="1"/>
  <c r="H42" i="1"/>
  <c r="H48" i="1" s="1"/>
  <c r="G42" i="1"/>
  <c r="L39" i="1"/>
  <c r="F39" i="1"/>
  <c r="J36" i="1"/>
  <c r="J39" i="1" s="1"/>
  <c r="I36" i="1"/>
  <c r="H36" i="1"/>
  <c r="H39" i="1" s="1"/>
  <c r="G36" i="1"/>
  <c r="G39" i="1" s="1"/>
  <c r="L30" i="1"/>
  <c r="F30" i="1"/>
  <c r="J30" i="1"/>
  <c r="I30" i="1"/>
  <c r="H30" i="1"/>
  <c r="G30" i="1"/>
  <c r="B23" i="1"/>
  <c r="A23" i="1"/>
  <c r="L22" i="1"/>
  <c r="F22" i="1"/>
  <c r="H22" i="1"/>
  <c r="J22" i="1"/>
  <c r="I22" i="1"/>
  <c r="B13" i="1"/>
  <c r="A13" i="1"/>
  <c r="L12" i="1"/>
  <c r="F12" i="1"/>
  <c r="H12" i="1"/>
  <c r="L185" i="1" l="1"/>
  <c r="G184" i="1"/>
  <c r="G185" i="1"/>
  <c r="L131" i="1"/>
  <c r="I112" i="1"/>
  <c r="G48" i="1"/>
  <c r="J185" i="1"/>
  <c r="I185" i="1"/>
  <c r="L113" i="1"/>
  <c r="G168" i="1"/>
  <c r="I167" i="1"/>
  <c r="I168" i="1" s="1"/>
  <c r="F40" i="1"/>
  <c r="I39" i="1"/>
  <c r="I40" i="1" s="1"/>
  <c r="I113" i="1"/>
  <c r="G138" i="1"/>
  <c r="G149" i="1" s="1"/>
  <c r="I138" i="1"/>
  <c r="I149" i="1" s="1"/>
  <c r="H167" i="1"/>
  <c r="H168" i="1" s="1"/>
  <c r="J167" i="1"/>
  <c r="J168" i="1" s="1"/>
  <c r="G12" i="1"/>
  <c r="G22" i="1"/>
  <c r="F113" i="1"/>
  <c r="H58" i="1"/>
  <c r="H59" i="1" s="1"/>
  <c r="J58" i="1"/>
  <c r="J59" i="1" s="1"/>
  <c r="H149" i="1"/>
  <c r="J138" i="1"/>
  <c r="J149" i="1" s="1"/>
  <c r="F149" i="1"/>
  <c r="L149" i="1"/>
  <c r="J102" i="1"/>
  <c r="H113" i="1"/>
  <c r="J131" i="1"/>
  <c r="J23" i="1"/>
  <c r="G102" i="1"/>
  <c r="G113" i="1" s="1"/>
  <c r="H131" i="1"/>
  <c r="H185" i="1"/>
  <c r="F59" i="1"/>
  <c r="G58" i="1"/>
  <c r="G59" i="1" s="1"/>
  <c r="I58" i="1"/>
  <c r="I59" i="1" s="1"/>
  <c r="L59" i="1"/>
  <c r="L40" i="1"/>
  <c r="G40" i="1"/>
  <c r="H40" i="1"/>
  <c r="J40" i="1"/>
  <c r="L23" i="1"/>
  <c r="F23" i="1"/>
  <c r="H23" i="1"/>
  <c r="I23" i="1"/>
  <c r="J113" i="1" l="1"/>
  <c r="G23" i="1"/>
</calcChain>
</file>

<file path=xl/sharedStrings.xml><?xml version="1.0" encoding="utf-8"?>
<sst xmlns="http://schemas.openxmlformats.org/spreadsheetml/2006/main" count="405" uniqueCount="161">
  <si>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</si>
  <si>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</si>
  <si>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</si>
  <si>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</si>
  <si>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</si>
  <si>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</si>
  <si>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</si>
  <si>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</si>
  <si>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</si>
  <si>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</si>
  <si>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</si>
  <si>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</si>
  <si>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</si>
  <si>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</si>
  <si>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</si>
  <si>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</si>
  <si>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</si>
  <si>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</si>
  <si>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</si>
  <si>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</si>
  <si>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</si>
  <si>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</si>
  <si>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</si>
  <si>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</si>
  <si>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</si>
  <si>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</si>
  <si>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</si>
  <si>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</si>
  <si>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</si>
  <si>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</si>
  <si>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</si>
  <si>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</si>
  <si>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</si>
  <si>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</si>
  <si>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</si>
  <si>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</si>
  <si>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</si>
  <si>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</si>
  <si>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</si>
  <si>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</si>
  <si>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</si>
  <si>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</si>
  <si>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</si>
  <si>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</si>
  <si>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</si>
  <si>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</si>
  <si>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</si>
  <si>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</si>
  <si>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</si>
  <si>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</si>
  <si>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</si>
  <si>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</si>
  <si>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</si>
  <si>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</si>
  <si>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</si>
  <si>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</si>
  <si>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</si>
  <si>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</si>
  <si>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</si>
  <si>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</si>
  <si>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</si>
  <si>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</si>
  <si>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</si>
  <si>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</si>
  <si>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</si>
  <si>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</si>
  <si>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</si>
  <si>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</si>
  <si>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</si>
  <si>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</si>
  <si>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>Винегрет овощной</t>
  </si>
  <si>
    <t>Тефтели рыбные  в соусе</t>
  </si>
  <si>
    <t>46.3</t>
  </si>
  <si>
    <t>38.2</t>
  </si>
  <si>
    <t>44357</t>
  </si>
  <si>
    <t>Гренки</t>
  </si>
  <si>
    <t>Фрукты</t>
  </si>
  <si>
    <t>90</t>
  </si>
  <si>
    <t>16.2</t>
  </si>
  <si>
    <t>16.81</t>
  </si>
  <si>
    <t>Суфле "Рыбка"</t>
  </si>
  <si>
    <t xml:space="preserve">Суп-пюре картофельный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</si>
  <si>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</si>
  <si>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</si>
  <si>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</si>
  <si>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</si>
  <si>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</si>
  <si>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Тефтели мясные с рисом паровые</t>
  </si>
  <si>
    <t>Суп картофельный с макаронными изделиями и мясом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</si>
  <si>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</si>
  <si>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</si>
  <si>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</si>
  <si>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</si>
  <si>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</si>
  <si>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Суп из овощей со сметаной и зеленью</t>
  </si>
  <si>
    <t>Какао на молоке</t>
  </si>
  <si>
    <t>41/1</t>
  </si>
  <si>
    <t>22.2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</si>
  <si>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</si>
  <si>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</si>
  <si>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</si>
  <si>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</si>
  <si>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</si>
  <si>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Борщ из капусты с картофелем, сметаной,мясом и зеленью</t>
  </si>
  <si>
    <t>Биточки из говядины паровые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</si>
  <si>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</si>
  <si>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</si>
  <si>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</si>
  <si>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</si>
  <si>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</si>
  <si>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Рассольник с крупой,  сметаной, мясом и зеленью</t>
  </si>
  <si>
    <t>Компот из свежих фруктов</t>
  </si>
  <si>
    <t>44265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</si>
  <si>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</si>
  <si>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</si>
  <si>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</si>
  <si>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</si>
  <si>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</si>
  <si>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</si>
  <si>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</si>
  <si>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</si>
  <si>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</si>
  <si>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</si>
  <si>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</si>
  <si>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</si>
  <si>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Салат из отварной свеклы с сыром и растительным маслом</t>
  </si>
  <si>
    <t>40</t>
  </si>
  <si>
    <t>напиток</t>
  </si>
  <si>
    <t>Мясо, тушеное с овощами</t>
  </si>
  <si>
    <t>Чай с лимоном</t>
  </si>
  <si>
    <t>Хлеб ржано-пшеничный</t>
  </si>
  <si>
    <t>125,04</t>
  </si>
  <si>
    <t>Салат из белокачанной капусты с морковью и растительным маслом и зеленью</t>
  </si>
  <si>
    <t>Суп картофельный с рыбной консервой</t>
  </si>
  <si>
    <t>Котлета из кур</t>
  </si>
  <si>
    <t>Компот из яблок и изюма</t>
  </si>
  <si>
    <t>Каша ассорти молочная с маслом сливочным</t>
  </si>
  <si>
    <t xml:space="preserve">Суп картофельный с бобовыми с мясом </t>
  </si>
  <si>
    <t>Салат из отварной свеклы с огурцом консервированным,  с растительным маслом</t>
  </si>
  <si>
    <t>Салат из картофеля с зеленым горошком и растительным маслом</t>
  </si>
  <si>
    <t>69,93</t>
  </si>
  <si>
    <t>7,11</t>
  </si>
  <si>
    <t>24,97</t>
  </si>
  <si>
    <t>73,83</t>
  </si>
  <si>
    <t>10,4</t>
  </si>
  <si>
    <t>салат фантазия</t>
  </si>
  <si>
    <t>98,58</t>
  </si>
  <si>
    <t>5,84</t>
  </si>
  <si>
    <t>6,63</t>
  </si>
  <si>
    <t>10,2</t>
  </si>
  <si>
    <t>38,15</t>
  </si>
  <si>
    <t>60,55</t>
  </si>
  <si>
    <t>Соус болоньезе</t>
  </si>
  <si>
    <t>44538/1</t>
  </si>
  <si>
    <t>Греча по царски</t>
  </si>
  <si>
    <t>178</t>
  </si>
  <si>
    <t>Салат из квашеной капусты с маслом растительным</t>
  </si>
  <si>
    <t>Щи с капустой и картофелем со сметаной, мясом и зеленью</t>
  </si>
  <si>
    <t>Мясо тушеное с овощами</t>
  </si>
  <si>
    <t>МАОУ НОШ № 13 Согласовано ____________Директор Н.В.Холуева</t>
  </si>
  <si>
    <t>Салат из свежей капусты с огурцом, луком, растительным маслом,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</si>
</sst>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color rgb="FF2D2D2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2" fillId="0" borderId="0"/>
    <xf numFmtId="0" fontId="29" fillId="0" borderId="0"/>
    <xf numFmtId="0" fontId="30" fillId="0" borderId="0"/>
    <xf numFmtId="0" fontId="2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2" fontId="15" fillId="0" borderId="1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/>
    <xf numFmtId="0" fontId="13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/>
    <xf numFmtId="2" fontId="14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4" fillId="0" borderId="1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" xfId="0" applyFont="1" applyBorder="1"/>
    <xf numFmtId="0" fontId="1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2" fontId="14" fillId="0" borderId="1" xfId="0" applyNumberFormat="1" applyFont="1" applyBorder="1" applyAlignment="1">
      <alignment vertic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/>
    </xf>
    <xf numFmtId="2" fontId="14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6" fillId="3" borderId="17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2" fillId="0" borderId="20" xfId="0" applyFont="1" applyBorder="1" applyAlignment="1">
      <alignment horizontal="center" vertical="center" wrapText="1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2" fontId="16" fillId="2" borderId="8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1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>
      <alignment horizontal="center" vertical="top" wrapText="1"/>
    </xf>
    <xf numFmtId="49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5" fillId="0" borderId="1" xfId="0" applyNumberFormat="1" applyFont="1" applyBorder="1" applyAlignment="1">
      <alignment horizontal="center" vertical="center"/>
    </xf>
    <xf numFmtId="49" fontId="16" fillId="2" borderId="21" xfId="0" applyNumberFormat="1" applyFont="1" applyFill="1" applyBorder="1" applyAlignment="1" applyProtection="1">
      <alignment horizontal="center" vertical="top" wrapText="1"/>
      <protection locked="0"/>
    </xf>
    <xf numFmtId="1" fontId="15" fillId="0" borderId="23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22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3" fillId="0" borderId="1" xfId="0" applyNumberFormat="1" applyFont="1" applyBorder="1" applyAlignment="1">
      <alignment horizontal="left" vertical="center" wrapText="1"/>
    </xf>
    <xf numFmtId="0" fontId="24" fillId="2" borderId="22" xfId="0" applyFont="1" applyFill="1" applyBorder="1" applyAlignment="1" applyProtection="1">
      <alignment horizontal="center" vertical="top" wrapText="1"/>
      <protection locked="0"/>
    </xf>
    <xf numFmtId="49" fontId="2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2" fontId="23" fillId="0" borderId="1" xfId="0" applyNumberFormat="1" applyFont="1" applyBorder="1" applyAlignment="1">
      <alignment vertical="center" wrapText="1"/>
    </xf>
    <xf numFmtId="2" fontId="23" fillId="0" borderId="1" xfId="0" applyNumberFormat="1" applyFont="1" applyBorder="1" applyAlignment="1">
      <alignment horizontal="left" vertical="center"/>
    </xf>
    <xf numFmtId="0" fontId="25" fillId="0" borderId="1" xfId="0" applyFont="1" applyBorder="1"/>
    <xf numFmtId="49" fontId="26" fillId="0" borderId="23" xfId="0" applyNumberFormat="1" applyFont="1" applyFill="1" applyBorder="1" applyAlignment="1">
      <alignment horizontal="center" vertical="center"/>
    </xf>
    <xf numFmtId="49" fontId="2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/>
    <xf numFmtId="0" fontId="13" fillId="0" borderId="0" xfId="0" applyFont="1" applyBorder="1"/>
    <xf numFmtId="2" fontId="14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left" vertical="center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2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Border="1" applyProtection="1">
      <protection locked="0"/>
    </xf>
    <xf numFmtId="0" fontId="14" fillId="0" borderId="0" xfId="0" applyFont="1" applyBorder="1" applyAlignment="1">
      <alignment horizontal="left" vertical="center"/>
    </xf>
    <xf numFmtId="2" fontId="15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left" vertical="center"/>
    </xf>
    <xf numFmtId="2" fontId="14" fillId="0" borderId="0" xfId="0" applyNumberFormat="1" applyFont="1" applyBorder="1" applyAlignment="1">
      <alignment horizontal="left" vertical="center"/>
    </xf>
    <xf numFmtId="1" fontId="15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left" vertical="center"/>
    </xf>
    <xf numFmtId="2" fontId="16" fillId="0" borderId="1" xfId="0" applyNumberFormat="1" applyFont="1" applyFill="1" applyBorder="1" applyAlignment="1" applyProtection="1">
      <alignment horizontal="center" vertical="top" wrapText="1"/>
      <protection locked="0"/>
    </xf>
    <xf numFmtId="2" fontId="27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Fill="1" applyBorder="1" applyAlignment="1" applyProtection="1">
      <alignment horizontal="center" vertical="top" wrapText="1"/>
      <protection locked="0"/>
    </xf>
    <xf numFmtId="2" fontId="27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Protection="1">
      <protection locked="0"/>
    </xf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6" fillId="0" borderId="1" xfId="2" applyNumberFormat="1" applyFont="1" applyBorder="1" applyAlignment="1">
      <alignment horizontal="center" vertical="center"/>
    </xf>
    <xf numFmtId="2" fontId="26" fillId="0" borderId="1" xfId="2" applyNumberFormat="1" applyFont="1" applyBorder="1" applyAlignment="1">
      <alignment horizontal="left" vertical="center"/>
    </xf>
    <xf numFmtId="1" fontId="26" fillId="0" borderId="1" xfId="2" applyNumberFormat="1" applyFont="1" applyBorder="1" applyAlignment="1">
      <alignment horizontal="center" vertical="center"/>
    </xf>
    <xf numFmtId="2" fontId="23" fillId="0" borderId="1" xfId="2" applyNumberFormat="1" applyFont="1" applyBorder="1" applyAlignment="1">
      <alignment vertical="center"/>
    </xf>
    <xf numFmtId="2" fontId="23" fillId="0" borderId="0" xfId="2" applyNumberFormat="1" applyFont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Fill="1" applyBorder="1" applyAlignment="1">
      <alignment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3" fillId="0" borderId="1" xfId="2" applyNumberFormat="1" applyFont="1" applyFill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left" vertical="center" wrapText="1"/>
    </xf>
    <xf numFmtId="0" fontId="24" fillId="2" borderId="21" xfId="0" applyFont="1" applyFill="1" applyBorder="1" applyAlignment="1" applyProtection="1">
      <alignment horizontal="center" vertical="top" wrapText="1"/>
      <protection locked="0"/>
    </xf>
    <xf numFmtId="2" fontId="26" fillId="0" borderId="1" xfId="2" applyNumberFormat="1" applyFont="1" applyBorder="1" applyAlignment="1">
      <alignment horizontal="left" vertical="center" wrapText="1"/>
    </xf>
    <xf numFmtId="0" fontId="25" fillId="0" borderId="8" xfId="0" applyFont="1" applyBorder="1"/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" xfId="2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Fill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0" xfId="2" applyFont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0" xfId="2" applyNumberFormat="1" applyFont="1" applyAlignment="1">
      <alignment horizontal="left" vertical="center" wrapText="1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23" fillId="4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4" borderId="1" xfId="2" applyNumberFormat="1" applyFont="1" applyFill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49" fontId="26" fillId="4" borderId="1" xfId="2" applyNumberFormat="1" applyFont="1" applyFill="1" applyBorder="1" applyAlignment="1">
      <alignment horizontal="center" vertical="center"/>
    </xf>
    <xf numFmtId="49" fontId="26" fillId="0" borderId="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 applyProtection="1">
      <alignment horizontal="center" vertical="top" wrapText="1"/>
      <protection locked="0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3" fillId="0" borderId="0" xfId="0" applyNumberFormat="1" applyFont="1" applyAlignment="1">
      <alignment horizontal="left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3" fillId="0" borderId="26" xfId="0" applyFont="1" applyBorder="1"/>
    <xf numFmtId="0" fontId="13" fillId="0" borderId="26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2" fontId="26" fillId="0" borderId="1" xfId="0" applyNumberFormat="1" applyFont="1" applyBorder="1" applyAlignment="1" applyProtection="1">
      <alignment horizontal="left" vertical="center"/>
      <protection locked="0"/>
    </xf>
    <xf numFmtId="2" fontId="26" fillId="0" borderId="1" xfId="0" applyNumberFormat="1" applyFont="1" applyFill="1" applyBorder="1" applyAlignment="1">
      <alignment horizontal="left" vertical="center"/>
    </xf>
    <xf numFmtId="0" fontId="25" fillId="0" borderId="11" xfId="0" applyFont="1" applyBorder="1"/>
    <xf numFmtId="0" fontId="31" fillId="3" borderId="18" xfId="0" applyFont="1" applyFill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1" fontId="15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2" fontId="26" fillId="0" borderId="1" xfId="2" applyNumberFormat="1" applyFont="1" applyBorder="1" applyAlignment="1">
      <alignment horizontal="center" vertical="center" wrapText="1"/>
    </xf>
    <xf numFmtId="2" fontId="26" fillId="0" borderId="1" xfId="2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top" wrapText="1"/>
    </xf>
    <xf numFmtId="2" fontId="26" fillId="0" borderId="1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top" wrapText="1"/>
      <protection locked="0"/>
    </xf>
    <xf numFmtId="49" fontId="16" fillId="3" borderId="17" xfId="0" applyNumberFormat="1" applyFont="1" applyFill="1" applyBorder="1" applyAlignment="1">
      <alignment horizontal="center" vertical="top" wrapText="1"/>
    </xf>
    <xf numFmtId="0" fontId="26" fillId="0" borderId="1" xfId="2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horizontal="left" wrapText="1"/>
      <protection locked="0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tabSelected="1" view="pageBreakPreview" zoomScale="93" zoomScaleNormal="100" zoomScaleSheetLayoutView="93" workbookViewId="0">
      <pane xSplit="4" ySplit="5" topLeftCell="E36" activePane="bottomRight" state="frozen"/>
      <selection pane="topRight"/>
      <selection pane="bottomLeft"/>
      <selection pane="bottomRight" activeCell="H47" sqref="H47"/>
    </sheetView>
  </sheetViews>
  <sheetFormatPr defaultRowHeight="12.75"/>
  <cols>
    <col min="1" max="1" width="6" style="1" customWidth="1"/>
    <col min="2" max="2" width="5.28515625" style="1" customWidth="1"/>
    <col min="3" max="3" width="9.140625" style="2" customWidth="1"/>
    <col min="4" max="4" width="11.5703125" style="2" customWidth="1"/>
    <col min="5" max="5" width="42.7109375" style="1" customWidth="1"/>
    <col min="6" max="6" width="9.28515625" style="1" customWidth="1"/>
    <col min="7" max="7" width="10.140625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.28515625" style="1" customWidth="1"/>
    <col min="12" max="12" width="9.5703125" style="1" customWidth="1"/>
    <col min="13" max="16384" width="9.140625" style="1"/>
  </cols>
  <sheetData>
    <row r="1" spans="1:12" ht="25.5" customHeight="1">
      <c r="A1" s="2" t="s">
        <v>0</v>
      </c>
      <c r="C1" s="210" t="s">
        <v>159</v>
      </c>
      <c r="D1" s="211"/>
      <c r="E1" s="211"/>
      <c r="F1" s="205" t="s">
        <v>1</v>
      </c>
      <c r="G1" s="1" t="s">
        <v>2</v>
      </c>
      <c r="H1" s="212" t="s">
        <v>85</v>
      </c>
      <c r="I1" s="213"/>
      <c r="J1" s="213"/>
      <c r="K1" s="214"/>
    </row>
    <row r="2" spans="1:12" ht="18">
      <c r="A2" s="3" t="s">
        <v>3</v>
      </c>
      <c r="C2" s="1"/>
      <c r="G2" s="1" t="s">
        <v>4</v>
      </c>
      <c r="H2" s="215" t="s">
        <v>86</v>
      </c>
      <c r="I2" s="216"/>
      <c r="J2" s="216"/>
      <c r="K2" s="216"/>
    </row>
    <row r="3" spans="1:12" ht="17.25" customHeight="1">
      <c r="A3" s="4" t="s">
        <v>5</v>
      </c>
      <c r="C3" s="1"/>
      <c r="D3" s="5"/>
      <c r="E3" s="6" t="s">
        <v>6</v>
      </c>
      <c r="G3" s="1" t="s">
        <v>7</v>
      </c>
      <c r="H3" s="7">
        <v>5</v>
      </c>
      <c r="I3" s="7">
        <v>11</v>
      </c>
      <c r="J3" s="53">
        <v>2025</v>
      </c>
      <c r="K3" s="54"/>
    </row>
    <row r="4" spans="1:12">
      <c r="C4" s="1"/>
      <c r="D4" s="4"/>
      <c r="H4" s="8" t="s">
        <v>8</v>
      </c>
      <c r="I4" s="8" t="s">
        <v>9</v>
      </c>
      <c r="J4" s="8" t="s">
        <v>10</v>
      </c>
    </row>
    <row r="5" spans="1:12" ht="34.5" thickBot="1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55" t="s">
        <v>21</v>
      </c>
      <c r="L5" s="11" t="s">
        <v>22</v>
      </c>
    </row>
    <row r="6" spans="1:12" ht="31.5">
      <c r="A6" s="12">
        <v>1</v>
      </c>
      <c r="B6" s="13">
        <v>1</v>
      </c>
      <c r="C6" s="14" t="s">
        <v>23</v>
      </c>
      <c r="D6" s="15" t="s">
        <v>24</v>
      </c>
      <c r="E6" s="109" t="s">
        <v>136</v>
      </c>
      <c r="F6" s="16">
        <v>200</v>
      </c>
      <c r="G6" s="112">
        <f>F6*7.45/200</f>
        <v>7.45</v>
      </c>
      <c r="H6" s="112">
        <f>F6*11.4/200</f>
        <v>11.4</v>
      </c>
      <c r="I6" s="112">
        <f>31.3*F6/200</f>
        <v>31.3</v>
      </c>
      <c r="J6" s="112">
        <f>257.8*F6/200</f>
        <v>257.8</v>
      </c>
      <c r="K6" s="110" t="s">
        <v>91</v>
      </c>
      <c r="L6" s="57">
        <v>31.39</v>
      </c>
    </row>
    <row r="7" spans="1:12" ht="15.75">
      <c r="A7" s="17"/>
      <c r="B7" s="18"/>
      <c r="C7" s="19"/>
      <c r="D7" s="23" t="s">
        <v>25</v>
      </c>
      <c r="E7" s="108" t="s">
        <v>26</v>
      </c>
      <c r="F7" s="16">
        <v>200</v>
      </c>
      <c r="G7" s="16">
        <f>3.1*F7/200</f>
        <v>3.1</v>
      </c>
      <c r="H7" s="16">
        <f>3.2*F7/200</f>
        <v>3.2</v>
      </c>
      <c r="I7" s="16">
        <f>14.4*F7/200</f>
        <v>14.4</v>
      </c>
      <c r="J7" s="16">
        <f>99*F7/200</f>
        <v>99</v>
      </c>
      <c r="K7" s="75" t="s">
        <v>63</v>
      </c>
      <c r="L7" s="45">
        <v>15.62</v>
      </c>
    </row>
    <row r="8" spans="1:12" ht="15.75">
      <c r="A8" s="17"/>
      <c r="B8" s="18"/>
      <c r="C8" s="19"/>
      <c r="D8" s="23" t="s">
        <v>34</v>
      </c>
      <c r="E8" s="107" t="s">
        <v>30</v>
      </c>
      <c r="F8" s="16">
        <v>60</v>
      </c>
      <c r="G8" s="16">
        <f>F8*6.1/50</f>
        <v>7.32</v>
      </c>
      <c r="H8" s="16">
        <f>F8*3.7/50</f>
        <v>4.4400000000000004</v>
      </c>
      <c r="I8" s="16">
        <f>F8*17.5/50</f>
        <v>21</v>
      </c>
      <c r="J8" s="16">
        <f>F8*127.7/50</f>
        <v>153.24</v>
      </c>
      <c r="K8" s="75" t="s">
        <v>92</v>
      </c>
      <c r="L8" s="45">
        <v>38.36</v>
      </c>
    </row>
    <row r="9" spans="1:12" ht="15.75">
      <c r="A9" s="17"/>
      <c r="B9" s="18"/>
      <c r="C9" s="19"/>
      <c r="D9" s="23" t="s">
        <v>42</v>
      </c>
      <c r="E9" s="37" t="s">
        <v>28</v>
      </c>
      <c r="F9" s="25">
        <v>30</v>
      </c>
      <c r="G9" s="25">
        <f>SUM(F9*1.68/30)</f>
        <v>1.68</v>
      </c>
      <c r="H9" s="25">
        <f>SUM(F9*0.33/30)</f>
        <v>0.33</v>
      </c>
      <c r="I9" s="25">
        <f>SUM(F9*14.82/30)</f>
        <v>14.82</v>
      </c>
      <c r="J9" s="25">
        <f>SUM(F9*68.97/30)</f>
        <v>68.97</v>
      </c>
      <c r="K9" s="75" t="s">
        <v>29</v>
      </c>
      <c r="L9" s="45">
        <v>5.92</v>
      </c>
    </row>
    <row r="10" spans="1:12" ht="15.75">
      <c r="A10" s="17"/>
      <c r="B10" s="18"/>
      <c r="C10" s="19"/>
      <c r="D10" s="20" t="s">
        <v>31</v>
      </c>
      <c r="E10" s="106" t="s">
        <v>76</v>
      </c>
      <c r="F10" s="25">
        <v>175</v>
      </c>
      <c r="G10" s="25">
        <f>F10*0.4/100</f>
        <v>0.7</v>
      </c>
      <c r="H10" s="25">
        <f>F10*0.4/100</f>
        <v>0.7</v>
      </c>
      <c r="I10" s="25">
        <f>F10*10.95/100</f>
        <v>19.162499999999998</v>
      </c>
      <c r="J10" s="25">
        <f>F10*49/100</f>
        <v>85.75</v>
      </c>
      <c r="K10" s="75" t="s">
        <v>29</v>
      </c>
      <c r="L10" s="45">
        <v>33.75</v>
      </c>
    </row>
    <row r="11" spans="1:12" ht="15.7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61"/>
      <c r="L11" s="45"/>
    </row>
    <row r="12" spans="1:12" ht="15.75">
      <c r="A12" s="27"/>
      <c r="B12" s="28"/>
      <c r="C12" s="29"/>
      <c r="D12" s="30" t="s">
        <v>32</v>
      </c>
      <c r="E12" s="31"/>
      <c r="F12" s="32">
        <f>SUM(F6:F11)</f>
        <v>665</v>
      </c>
      <c r="G12" s="33">
        <f>SUM(G6:G11)</f>
        <v>20.25</v>
      </c>
      <c r="H12" s="33">
        <f>SUM(H6:H11)</f>
        <v>20.07</v>
      </c>
      <c r="I12" s="33">
        <f>SUM(I6:I11)</f>
        <v>100.6825</v>
      </c>
      <c r="J12" s="33">
        <f>SUM(J6:J11)</f>
        <v>664.76</v>
      </c>
      <c r="K12" s="60"/>
      <c r="L12" s="33">
        <f>SUM(L6:L11)</f>
        <v>125.04</v>
      </c>
    </row>
    <row r="13" spans="1:12" ht="31.5">
      <c r="A13" s="34">
        <f>A6</f>
        <v>1</v>
      </c>
      <c r="B13" s="35">
        <f>B6</f>
        <v>1</v>
      </c>
      <c r="C13" s="36" t="s">
        <v>33</v>
      </c>
      <c r="D13" s="23" t="s">
        <v>34</v>
      </c>
      <c r="E13" s="115" t="s">
        <v>93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111" t="s">
        <v>77</v>
      </c>
      <c r="L13" s="45">
        <v>11.93</v>
      </c>
    </row>
    <row r="14" spans="1:12" ht="15.75">
      <c r="A14" s="17"/>
      <c r="B14" s="18"/>
      <c r="C14" s="19"/>
      <c r="D14" s="23" t="s">
        <v>35</v>
      </c>
      <c r="E14" s="117" t="s">
        <v>137</v>
      </c>
      <c r="F14" s="16">
        <v>200</v>
      </c>
      <c r="G14" s="119">
        <f>F14*8/200</f>
        <v>8</v>
      </c>
      <c r="H14" s="119">
        <f>F14*8/200</f>
        <v>8</v>
      </c>
      <c r="I14" s="119">
        <f>F14*16.6/200</f>
        <v>16.600000000000001</v>
      </c>
      <c r="J14" s="119">
        <f>F14*176.2/200</f>
        <v>176.2</v>
      </c>
      <c r="K14" s="111" t="s">
        <v>78</v>
      </c>
      <c r="L14" s="45">
        <v>22.42</v>
      </c>
    </row>
    <row r="15" spans="1:12" ht="15.75">
      <c r="A15" s="17"/>
      <c r="B15" s="18"/>
      <c r="C15" s="19"/>
      <c r="D15" s="23" t="s">
        <v>36</v>
      </c>
      <c r="E15" s="116" t="s">
        <v>53</v>
      </c>
      <c r="F15" s="44">
        <v>90</v>
      </c>
      <c r="G15" s="44">
        <f>F15*14.04/90</f>
        <v>14.04</v>
      </c>
      <c r="H15" s="44">
        <f>F15*17.5/90</f>
        <v>17.5</v>
      </c>
      <c r="I15" s="44">
        <f>F15*14.3/90</f>
        <v>14.3</v>
      </c>
      <c r="J15" s="44">
        <f>F15*270.86/90</f>
        <v>270.86</v>
      </c>
      <c r="K15" s="111" t="s">
        <v>54</v>
      </c>
      <c r="L15" s="45">
        <v>78.06</v>
      </c>
    </row>
    <row r="16" spans="1:12" ht="15.75">
      <c r="A16" s="17"/>
      <c r="B16" s="18"/>
      <c r="C16" s="19"/>
      <c r="D16" s="23" t="s">
        <v>37</v>
      </c>
      <c r="E16" s="114" t="s">
        <v>38</v>
      </c>
      <c r="F16" s="16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113" t="s">
        <v>72</v>
      </c>
      <c r="L16" s="45">
        <v>9.15</v>
      </c>
    </row>
    <row r="17" spans="1:12" ht="15.75">
      <c r="A17" s="17"/>
      <c r="B17" s="18"/>
      <c r="C17" s="19"/>
      <c r="D17" s="23" t="s">
        <v>127</v>
      </c>
      <c r="E17" s="114" t="s">
        <v>39</v>
      </c>
      <c r="F17" s="16">
        <v>200</v>
      </c>
      <c r="G17" s="118">
        <f>0.4*F17/200</f>
        <v>0.4</v>
      </c>
      <c r="H17" s="118">
        <f>0.2*F17/200</f>
        <v>0.2</v>
      </c>
      <c r="I17" s="118">
        <f>16.1*F17/200</f>
        <v>16.100000000000001</v>
      </c>
      <c r="J17" s="118">
        <f>68*F17/200</f>
        <v>68</v>
      </c>
      <c r="K17" s="113">
        <v>44206</v>
      </c>
      <c r="L17" s="45">
        <v>16.05</v>
      </c>
    </row>
    <row r="18" spans="1:12" ht="15.75">
      <c r="A18" s="17"/>
      <c r="B18" s="18"/>
      <c r="C18" s="19"/>
      <c r="D18" s="23" t="s">
        <v>40</v>
      </c>
      <c r="E18" s="26" t="s">
        <v>41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113" t="s">
        <v>29</v>
      </c>
      <c r="L18" s="45">
        <v>3.89</v>
      </c>
    </row>
    <row r="19" spans="1:12" ht="15.75">
      <c r="A19" s="17"/>
      <c r="B19" s="18"/>
      <c r="C19" s="19"/>
      <c r="D19" s="23" t="s">
        <v>42</v>
      </c>
      <c r="E19" s="114" t="s">
        <v>28</v>
      </c>
      <c r="F19" s="25">
        <v>30</v>
      </c>
      <c r="G19" s="25">
        <f>SUM(F19*1.68/30)</f>
        <v>1.68</v>
      </c>
      <c r="H19" s="25">
        <f>SUM(F19*0.33/30)</f>
        <v>0.33</v>
      </c>
      <c r="I19" s="25">
        <f>SUM(F19*14.82/30)</f>
        <v>14.82</v>
      </c>
      <c r="J19" s="25">
        <f>SUM(F19*68.97/30)</f>
        <v>68.97</v>
      </c>
      <c r="K19" s="113" t="s">
        <v>44</v>
      </c>
      <c r="L19" s="45">
        <v>3.55</v>
      </c>
    </row>
    <row r="20" spans="1:12" ht="15.75">
      <c r="A20" s="17"/>
      <c r="B20" s="18"/>
      <c r="C20" s="19"/>
      <c r="D20" s="20"/>
      <c r="E20" s="21"/>
      <c r="F20" s="22"/>
      <c r="G20" s="22"/>
      <c r="H20" s="22"/>
      <c r="I20" s="22"/>
      <c r="J20" s="22"/>
      <c r="K20" s="58"/>
      <c r="L20" s="45"/>
    </row>
    <row r="21" spans="1:12" ht="15.7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58"/>
      <c r="L21" s="45"/>
    </row>
    <row r="22" spans="1:12" ht="15.75">
      <c r="A22" s="27"/>
      <c r="B22" s="28"/>
      <c r="C22" s="29"/>
      <c r="D22" s="30" t="s">
        <v>32</v>
      </c>
      <c r="E22" s="31"/>
      <c r="F22" s="32">
        <f>SUM(F13:F21)</f>
        <v>760</v>
      </c>
      <c r="G22" s="33">
        <f t="shared" ref="G22:J22" si="0">SUM(G13:G21)</f>
        <v>32.39</v>
      </c>
      <c r="H22" s="33">
        <f t="shared" si="0"/>
        <v>35.33</v>
      </c>
      <c r="I22" s="33">
        <f t="shared" si="0"/>
        <v>113.47</v>
      </c>
      <c r="J22" s="33">
        <f t="shared" si="0"/>
        <v>907.61</v>
      </c>
      <c r="K22" s="60"/>
      <c r="L22" s="33">
        <f t="shared" ref="L22" si="1">SUM(L13:L21)</f>
        <v>145.05000000000001</v>
      </c>
    </row>
    <row r="23" spans="1:12" ht="16.5" thickBot="1">
      <c r="A23" s="38">
        <f>A6</f>
        <v>1</v>
      </c>
      <c r="B23" s="39">
        <f>B6</f>
        <v>1</v>
      </c>
      <c r="C23" s="206" t="s">
        <v>43</v>
      </c>
      <c r="D23" s="207"/>
      <c r="E23" s="40"/>
      <c r="F23" s="41">
        <f>F12+F22</f>
        <v>1425</v>
      </c>
      <c r="G23" s="41">
        <f t="shared" ref="G23:J23" si="2">G12+G22</f>
        <v>52.64</v>
      </c>
      <c r="H23" s="41">
        <f t="shared" si="2"/>
        <v>55.4</v>
      </c>
      <c r="I23" s="41">
        <f t="shared" si="2"/>
        <v>214.1525</v>
      </c>
      <c r="J23" s="41">
        <f t="shared" si="2"/>
        <v>1572.37</v>
      </c>
      <c r="K23" s="41"/>
      <c r="L23" s="48">
        <f t="shared" ref="L23" si="3">L12+L22</f>
        <v>270.09000000000003</v>
      </c>
    </row>
    <row r="24" spans="1:12" ht="15.75">
      <c r="A24" s="42">
        <v>1</v>
      </c>
      <c r="B24" s="18">
        <v>2</v>
      </c>
      <c r="C24" s="19" t="s">
        <v>23</v>
      </c>
      <c r="D24" s="23" t="s">
        <v>36</v>
      </c>
      <c r="E24" s="123" t="s">
        <v>80</v>
      </c>
      <c r="F24" s="44">
        <v>90</v>
      </c>
      <c r="G24" s="44">
        <f>F24*14/100</f>
        <v>12.6</v>
      </c>
      <c r="H24" s="44">
        <f>F24*15/100</f>
        <v>13.5</v>
      </c>
      <c r="I24" s="44">
        <f>F24*8.7/100</f>
        <v>7.8299999999999992</v>
      </c>
      <c r="J24" s="44">
        <f>F24*203.22/90</f>
        <v>203.22</v>
      </c>
      <c r="K24" s="62" t="s">
        <v>56</v>
      </c>
      <c r="L24" s="45">
        <v>80.27</v>
      </c>
    </row>
    <row r="25" spans="1:12" ht="15.75">
      <c r="A25" s="42"/>
      <c r="B25" s="18"/>
      <c r="C25" s="19"/>
      <c r="D25" s="82" t="s">
        <v>37</v>
      </c>
      <c r="E25" s="122" t="s">
        <v>57</v>
      </c>
      <c r="F25" s="25">
        <v>150</v>
      </c>
      <c r="G25" s="25">
        <f>F25*3.17/150</f>
        <v>3.17</v>
      </c>
      <c r="H25" s="25">
        <f>F25*3.67/150</f>
        <v>3.67</v>
      </c>
      <c r="I25" s="25">
        <f>F25*20.4/150</f>
        <v>20.399999999999999</v>
      </c>
      <c r="J25" s="44">
        <f>F25*127.5/150</f>
        <v>127.5</v>
      </c>
      <c r="K25" s="62">
        <v>44258</v>
      </c>
      <c r="L25" s="45">
        <v>18.170000000000002</v>
      </c>
    </row>
    <row r="26" spans="1:12" ht="15.75">
      <c r="A26" s="42"/>
      <c r="B26" s="18"/>
      <c r="C26" s="19"/>
      <c r="D26" s="23" t="s">
        <v>127</v>
      </c>
      <c r="E26" s="120" t="s">
        <v>49</v>
      </c>
      <c r="F26" s="25">
        <v>200</v>
      </c>
      <c r="G26" s="25">
        <v>1</v>
      </c>
      <c r="H26" s="25">
        <v>0.1</v>
      </c>
      <c r="I26" s="25">
        <v>19.8</v>
      </c>
      <c r="J26" s="25">
        <v>84.1</v>
      </c>
      <c r="K26" s="75" t="s">
        <v>74</v>
      </c>
      <c r="L26" s="45">
        <v>19.21</v>
      </c>
    </row>
    <row r="27" spans="1:12" ht="15.75">
      <c r="A27" s="42"/>
      <c r="B27" s="18"/>
      <c r="C27" s="19"/>
      <c r="D27" s="23" t="s">
        <v>40</v>
      </c>
      <c r="E27" s="26" t="s">
        <v>41</v>
      </c>
      <c r="F27" s="25">
        <v>30</v>
      </c>
      <c r="G27" s="25">
        <f>SUM(F27*2.37/30)</f>
        <v>2.37</v>
      </c>
      <c r="H27" s="25">
        <f>SUM(F27*0.3/30)</f>
        <v>0.3</v>
      </c>
      <c r="I27" s="25">
        <f>SUM(F27*14.49/30)</f>
        <v>14.49</v>
      </c>
      <c r="J27" s="25">
        <f>SUM(F27*70.14/30)</f>
        <v>70.14</v>
      </c>
      <c r="K27" s="75" t="s">
        <v>29</v>
      </c>
      <c r="L27" s="45">
        <v>3.84</v>
      </c>
    </row>
    <row r="28" spans="1:12" ht="15.75">
      <c r="A28" s="42"/>
      <c r="B28" s="18"/>
      <c r="C28" s="19"/>
      <c r="D28" s="23" t="s">
        <v>42</v>
      </c>
      <c r="E28" s="121" t="s">
        <v>28</v>
      </c>
      <c r="F28" s="25">
        <v>30</v>
      </c>
      <c r="G28" s="25">
        <f>SUM(F28*1.68/30)</f>
        <v>1.68</v>
      </c>
      <c r="H28" s="25">
        <f>SUM(F28*0.33/30)</f>
        <v>0.33</v>
      </c>
      <c r="I28" s="25">
        <f>SUM(F28*14.82/30)</f>
        <v>14.82</v>
      </c>
      <c r="J28" s="25">
        <f>SUM(F28*68.97/30)</f>
        <v>68.97</v>
      </c>
      <c r="K28" s="77" t="s">
        <v>29</v>
      </c>
      <c r="L28" s="45">
        <v>3.55</v>
      </c>
    </row>
    <row r="29" spans="1:12" ht="15.75">
      <c r="A29" s="42"/>
      <c r="B29" s="18"/>
      <c r="C29" s="19"/>
      <c r="D29" s="20"/>
      <c r="E29" s="21"/>
      <c r="F29" s="45"/>
      <c r="G29" s="45"/>
      <c r="H29" s="45"/>
      <c r="I29" s="45"/>
      <c r="J29" s="45"/>
      <c r="K29" s="58"/>
      <c r="L29" s="45"/>
    </row>
    <row r="30" spans="1:12" ht="15.75">
      <c r="A30" s="46"/>
      <c r="B30" s="28"/>
      <c r="C30" s="29"/>
      <c r="D30" s="30" t="s">
        <v>32</v>
      </c>
      <c r="E30" s="31"/>
      <c r="F30" s="33">
        <f>SUM(F24:F29)</f>
        <v>500</v>
      </c>
      <c r="G30" s="33">
        <f>SUM(G24:G29)</f>
        <v>20.82</v>
      </c>
      <c r="H30" s="33">
        <f>SUM(H24:H29)</f>
        <v>17.900000000000002</v>
      </c>
      <c r="I30" s="33">
        <f>SUM(I24:I29)</f>
        <v>77.34</v>
      </c>
      <c r="J30" s="33">
        <f>SUM(J24:J29)</f>
        <v>553.93000000000006</v>
      </c>
      <c r="K30" s="60"/>
      <c r="L30" s="33">
        <f>SUM(L24:L29)</f>
        <v>125.04</v>
      </c>
    </row>
    <row r="31" spans="1:12" ht="47.25">
      <c r="A31" s="35">
        <v>1</v>
      </c>
      <c r="B31" s="35">
        <v>2</v>
      </c>
      <c r="C31" s="36" t="s">
        <v>33</v>
      </c>
      <c r="D31" s="23" t="s">
        <v>34</v>
      </c>
      <c r="E31" s="126" t="s">
        <v>138</v>
      </c>
      <c r="F31" s="25">
        <v>90</v>
      </c>
      <c r="G31" s="25">
        <f>F31*0.84/60</f>
        <v>1.26</v>
      </c>
      <c r="H31" s="25">
        <f>F31*3.6/60</f>
        <v>5.4</v>
      </c>
      <c r="I31" s="25">
        <f>F31*4.08/60</f>
        <v>6.12</v>
      </c>
      <c r="J31" s="25">
        <f>F31*52.2/60</f>
        <v>78.3</v>
      </c>
      <c r="K31" s="75" t="s">
        <v>59</v>
      </c>
      <c r="L31" s="45">
        <v>12.38</v>
      </c>
    </row>
    <row r="32" spans="1:12" ht="15.75">
      <c r="A32" s="42"/>
      <c r="B32" s="18"/>
      <c r="C32" s="19"/>
      <c r="D32" s="23" t="s">
        <v>35</v>
      </c>
      <c r="E32" s="125" t="s">
        <v>94</v>
      </c>
      <c r="F32" s="44">
        <v>250</v>
      </c>
      <c r="G32" s="44">
        <f>F32*4/200</f>
        <v>5</v>
      </c>
      <c r="H32" s="44">
        <f>F32*7/200</f>
        <v>8.75</v>
      </c>
      <c r="I32" s="44">
        <f>F32*9.4/200</f>
        <v>11.75</v>
      </c>
      <c r="J32" s="44">
        <f>F32*120/200</f>
        <v>150</v>
      </c>
      <c r="K32" s="61">
        <v>45708</v>
      </c>
      <c r="L32" s="45">
        <v>35.31</v>
      </c>
    </row>
    <row r="33" spans="1:12" ht="15.75">
      <c r="A33" s="42"/>
      <c r="B33" s="18"/>
      <c r="C33" s="19"/>
      <c r="D33" s="23" t="s">
        <v>36</v>
      </c>
      <c r="E33" s="124" t="s">
        <v>60</v>
      </c>
      <c r="F33" s="44">
        <v>250</v>
      </c>
      <c r="G33" s="44">
        <f>F33*18.5/250</f>
        <v>18.5</v>
      </c>
      <c r="H33" s="44">
        <f>F33*20.6/250</f>
        <v>20.6</v>
      </c>
      <c r="I33" s="44">
        <f>F33*43.2/250</f>
        <v>43.2</v>
      </c>
      <c r="J33" s="44">
        <f>F33*397.62/230</f>
        <v>432.19565217391306</v>
      </c>
      <c r="K33" s="58">
        <v>44294</v>
      </c>
      <c r="L33" s="45">
        <v>79.39</v>
      </c>
    </row>
    <row r="34" spans="1:12" ht="15.75">
      <c r="A34" s="42"/>
      <c r="B34" s="18"/>
      <c r="C34" s="19"/>
      <c r="D34" s="23" t="s">
        <v>127</v>
      </c>
      <c r="E34" s="124" t="s">
        <v>52</v>
      </c>
      <c r="F34" s="25">
        <v>200</v>
      </c>
      <c r="G34" s="25">
        <v>0</v>
      </c>
      <c r="H34" s="25">
        <v>0</v>
      </c>
      <c r="I34" s="25">
        <v>27.8</v>
      </c>
      <c r="J34" s="25">
        <v>111</v>
      </c>
      <c r="K34" s="77">
        <v>948</v>
      </c>
      <c r="L34" s="45">
        <v>5.66</v>
      </c>
    </row>
    <row r="35" spans="1:12" ht="15.75">
      <c r="A35" s="42"/>
      <c r="B35" s="18"/>
      <c r="C35" s="19"/>
      <c r="D35" s="23" t="s">
        <v>40</v>
      </c>
      <c r="E35" s="26" t="s">
        <v>41</v>
      </c>
      <c r="F35" s="25">
        <v>50</v>
      </c>
      <c r="G35" s="25">
        <f>SUM(F35*2.37/30)</f>
        <v>3.95</v>
      </c>
      <c r="H35" s="25">
        <f>SUM(F35*0.3/30)</f>
        <v>0.5</v>
      </c>
      <c r="I35" s="25">
        <f>SUM(F35*14.49/30)</f>
        <v>24.15</v>
      </c>
      <c r="J35" s="25">
        <f>SUM(F35*70.14/30)</f>
        <v>116.9</v>
      </c>
      <c r="K35" s="58" t="s">
        <v>29</v>
      </c>
      <c r="L35" s="45">
        <v>6.4</v>
      </c>
    </row>
    <row r="36" spans="1:12" ht="15.75">
      <c r="A36" s="42"/>
      <c r="B36" s="18"/>
      <c r="C36" s="19"/>
      <c r="D36" s="23" t="s">
        <v>42</v>
      </c>
      <c r="E36" s="37" t="s">
        <v>28</v>
      </c>
      <c r="F36" s="25">
        <v>50</v>
      </c>
      <c r="G36" s="25">
        <f>SUM(F36*1.68/30)</f>
        <v>2.8</v>
      </c>
      <c r="H36" s="25">
        <f>SUM(F36*0.33/30)</f>
        <v>0.55000000000000004</v>
      </c>
      <c r="I36" s="25">
        <f>SUM(F36*14.82/30)</f>
        <v>24.7</v>
      </c>
      <c r="J36" s="25">
        <f>SUM(F36*68.97/30)</f>
        <v>114.95</v>
      </c>
      <c r="K36" s="58" t="s">
        <v>29</v>
      </c>
      <c r="L36" s="45">
        <v>5.91</v>
      </c>
    </row>
    <row r="37" spans="1:12" ht="15.75">
      <c r="A37" s="42"/>
      <c r="B37" s="18"/>
      <c r="C37" s="19"/>
      <c r="D37" s="20"/>
      <c r="E37" s="21"/>
      <c r="F37" s="45"/>
      <c r="G37" s="45"/>
      <c r="H37" s="45"/>
      <c r="I37" s="45"/>
      <c r="J37" s="45"/>
      <c r="K37" s="58"/>
      <c r="L37" s="45"/>
    </row>
    <row r="38" spans="1:12" ht="15.75">
      <c r="A38" s="42"/>
      <c r="B38" s="18"/>
      <c r="C38" s="19"/>
      <c r="D38" s="20"/>
      <c r="E38" s="21"/>
      <c r="F38" s="45"/>
      <c r="G38" s="45"/>
      <c r="H38" s="45"/>
      <c r="I38" s="45"/>
      <c r="J38" s="45"/>
      <c r="K38" s="58"/>
      <c r="L38" s="45"/>
    </row>
    <row r="39" spans="1:12" ht="15.75">
      <c r="A39" s="46"/>
      <c r="B39" s="28"/>
      <c r="C39" s="29"/>
      <c r="D39" s="30" t="s">
        <v>32</v>
      </c>
      <c r="E39" s="31"/>
      <c r="F39" s="33">
        <f>SUM(F31:F38)</f>
        <v>890</v>
      </c>
      <c r="G39" s="33">
        <f>SUM(G31:G38)</f>
        <v>31.509999999999998</v>
      </c>
      <c r="H39" s="33">
        <f>SUM(H31:H38)</f>
        <v>35.799999999999997</v>
      </c>
      <c r="I39" s="33">
        <f>SUM(I31:I38)</f>
        <v>137.72</v>
      </c>
      <c r="J39" s="33">
        <f>SUM(J31:J38)</f>
        <v>1003.3456521739131</v>
      </c>
      <c r="K39" s="60"/>
      <c r="L39" s="33">
        <f>SUM(L31:L38)</f>
        <v>145.05000000000001</v>
      </c>
    </row>
    <row r="40" spans="1:12" ht="15.75" customHeight="1">
      <c r="A40" s="47">
        <v>1</v>
      </c>
      <c r="B40" s="47">
        <v>2</v>
      </c>
      <c r="C40" s="206" t="s">
        <v>43</v>
      </c>
      <c r="D40" s="207"/>
      <c r="E40" s="40"/>
      <c r="F40" s="48">
        <f>F30+F39</f>
        <v>1390</v>
      </c>
      <c r="G40" s="48">
        <f>G30+G39</f>
        <v>52.33</v>
      </c>
      <c r="H40" s="48">
        <f>H30+H39</f>
        <v>53.7</v>
      </c>
      <c r="I40" s="48">
        <f>I30+I39</f>
        <v>215.06</v>
      </c>
      <c r="J40" s="48">
        <f>J30+J39</f>
        <v>1557.2756521739132</v>
      </c>
      <c r="K40" s="41"/>
      <c r="L40" s="48">
        <f>L30+L39</f>
        <v>270.09000000000003</v>
      </c>
    </row>
    <row r="41" spans="1:12" ht="15.75">
      <c r="A41" s="12">
        <v>1</v>
      </c>
      <c r="B41" s="13">
        <v>3</v>
      </c>
      <c r="C41" s="14" t="s">
        <v>23</v>
      </c>
      <c r="D41" s="15"/>
      <c r="E41" s="43"/>
      <c r="F41" s="25"/>
      <c r="G41" s="25"/>
      <c r="H41" s="25"/>
      <c r="I41" s="25"/>
      <c r="J41" s="25"/>
      <c r="K41" s="63"/>
      <c r="L41" s="57"/>
    </row>
    <row r="42" spans="1:12" ht="15.75">
      <c r="A42" s="17"/>
      <c r="B42" s="18"/>
      <c r="C42" s="19"/>
      <c r="D42" s="15" t="s">
        <v>36</v>
      </c>
      <c r="E42" s="49" t="s">
        <v>48</v>
      </c>
      <c r="F42" s="25">
        <v>98</v>
      </c>
      <c r="G42" s="25">
        <f>F42*17.19/90</f>
        <v>18.718</v>
      </c>
      <c r="H42" s="25">
        <f>F42*14.31/90</f>
        <v>15.582000000000001</v>
      </c>
      <c r="I42" s="25">
        <f>F42*0.18/90</f>
        <v>0.19600000000000001</v>
      </c>
      <c r="J42" s="25">
        <f>F42*198/90</f>
        <v>215.6</v>
      </c>
      <c r="K42" s="64">
        <v>4232</v>
      </c>
      <c r="L42" s="57">
        <v>63.22</v>
      </c>
    </row>
    <row r="43" spans="1:12" ht="15.75">
      <c r="A43" s="17"/>
      <c r="B43" s="18"/>
      <c r="C43" s="19"/>
      <c r="D43" s="20" t="s">
        <v>37</v>
      </c>
      <c r="E43" s="37" t="s">
        <v>38</v>
      </c>
      <c r="F43" s="16">
        <v>150</v>
      </c>
      <c r="G43" s="25">
        <f>F43*5.3/150</f>
        <v>5.3</v>
      </c>
      <c r="H43" s="25">
        <f>F43*3/150</f>
        <v>3</v>
      </c>
      <c r="I43" s="25">
        <f>F43*32.4/150</f>
        <v>32.4</v>
      </c>
      <c r="J43" s="25">
        <f>F43*178/150</f>
        <v>178</v>
      </c>
      <c r="K43" s="58">
        <v>46.3</v>
      </c>
      <c r="L43" s="45">
        <v>9.15</v>
      </c>
    </row>
    <row r="44" spans="1:12" ht="15.75">
      <c r="A44" s="17"/>
      <c r="B44" s="18"/>
      <c r="C44" s="19"/>
      <c r="D44" s="23" t="s">
        <v>25</v>
      </c>
      <c r="E44" s="81" t="s">
        <v>95</v>
      </c>
      <c r="F44" s="44">
        <v>200</v>
      </c>
      <c r="G44" s="44">
        <v>3.6</v>
      </c>
      <c r="H44" s="44">
        <v>3.3</v>
      </c>
      <c r="I44" s="44">
        <v>22.8</v>
      </c>
      <c r="J44" s="44">
        <v>135</v>
      </c>
      <c r="K44" s="67" t="s">
        <v>58</v>
      </c>
      <c r="L44" s="45">
        <v>22.58</v>
      </c>
    </row>
    <row r="45" spans="1:12" ht="15.75">
      <c r="A45" s="17"/>
      <c r="B45" s="18"/>
      <c r="C45" s="19"/>
      <c r="D45" s="23" t="s">
        <v>40</v>
      </c>
      <c r="E45" s="26" t="s">
        <v>41</v>
      </c>
      <c r="F45" s="25">
        <v>50</v>
      </c>
      <c r="G45" s="25">
        <f>SUM(F45*2.37/30)</f>
        <v>3.95</v>
      </c>
      <c r="H45" s="25">
        <f>SUM(F45*0.3/30)</f>
        <v>0.5</v>
      </c>
      <c r="I45" s="25">
        <f>SUM(F45*14.49/30)</f>
        <v>24.15</v>
      </c>
      <c r="J45" s="25">
        <f>SUM(F45*70.14/30)</f>
        <v>116.9</v>
      </c>
      <c r="K45" s="58" t="s">
        <v>29</v>
      </c>
      <c r="L45" s="45">
        <v>6.4</v>
      </c>
    </row>
    <row r="46" spans="1:12" ht="15.75">
      <c r="A46" s="17"/>
      <c r="B46" s="18"/>
      <c r="C46" s="19"/>
      <c r="D46" s="23" t="s">
        <v>42</v>
      </c>
      <c r="E46" s="37" t="s">
        <v>28</v>
      </c>
      <c r="F46" s="25">
        <v>30</v>
      </c>
      <c r="G46" s="25">
        <f>SUM(F46*1.68/30)</f>
        <v>1.68</v>
      </c>
      <c r="H46" s="25">
        <f>SUM(F46*0.33/30)</f>
        <v>0.33</v>
      </c>
      <c r="I46" s="25">
        <f>SUM(F46*14.82/30)</f>
        <v>14.82</v>
      </c>
      <c r="J46" s="25">
        <f>SUM(F46*68.97/30)</f>
        <v>68.97</v>
      </c>
      <c r="K46" s="58" t="s">
        <v>29</v>
      </c>
      <c r="L46" s="45">
        <v>3.55</v>
      </c>
    </row>
    <row r="47" spans="1:12" ht="31.5">
      <c r="A47" s="17"/>
      <c r="B47" s="18"/>
      <c r="C47" s="19"/>
      <c r="D47" s="20" t="s">
        <v>34</v>
      </c>
      <c r="E47" s="217" t="s">
        <v>160</v>
      </c>
      <c r="F47" s="104">
        <v>95</v>
      </c>
      <c r="G47" s="104">
        <v>2.5</v>
      </c>
      <c r="H47" s="104">
        <v>10</v>
      </c>
      <c r="I47" s="104">
        <v>7.08</v>
      </c>
      <c r="J47" s="104">
        <v>128.33000000000001</v>
      </c>
      <c r="K47" s="103">
        <v>44409</v>
      </c>
      <c r="L47" s="102">
        <v>20.14</v>
      </c>
    </row>
    <row r="48" spans="1:12" ht="15.75">
      <c r="A48" s="27"/>
      <c r="B48" s="28"/>
      <c r="C48" s="29"/>
      <c r="D48" s="30" t="s">
        <v>32</v>
      </c>
      <c r="E48" s="31"/>
      <c r="F48" s="33">
        <f>SUM(F41:F47)</f>
        <v>623</v>
      </c>
      <c r="G48" s="33">
        <f t="shared" ref="G48" si="4">SUM(G41:G47)</f>
        <v>35.748000000000005</v>
      </c>
      <c r="H48" s="33">
        <f t="shared" ref="H48" si="5">SUM(H41:H47)</f>
        <v>32.712000000000003</v>
      </c>
      <c r="I48" s="33">
        <f t="shared" ref="I48" si="6">SUM(I41:I47)</f>
        <v>101.44599999999998</v>
      </c>
      <c r="J48" s="33">
        <f t="shared" ref="J48:L48" si="7">SUM(J41:J47)</f>
        <v>842.80000000000007</v>
      </c>
      <c r="K48" s="60"/>
      <c r="L48" s="33">
        <f t="shared" si="7"/>
        <v>125.04</v>
      </c>
    </row>
    <row r="49" spans="1:13" ht="31.5">
      <c r="A49" s="34">
        <f>A41</f>
        <v>1</v>
      </c>
      <c r="B49" s="35">
        <f>B41</f>
        <v>3</v>
      </c>
      <c r="C49" s="36" t="s">
        <v>33</v>
      </c>
      <c r="D49" s="23" t="s">
        <v>34</v>
      </c>
      <c r="E49" s="131" t="s">
        <v>139</v>
      </c>
      <c r="F49" s="118">
        <v>60</v>
      </c>
      <c r="G49" s="118">
        <f>F49*3.24/60</f>
        <v>3.24</v>
      </c>
      <c r="H49" s="118">
        <f>F49*7.76/60</f>
        <v>7.76</v>
      </c>
      <c r="I49" s="118">
        <f>F49*25.26/60</f>
        <v>25.26</v>
      </c>
      <c r="J49" s="118">
        <f>F49*183.84/60</f>
        <v>183.84</v>
      </c>
      <c r="K49" s="77" t="s">
        <v>96</v>
      </c>
      <c r="L49" s="45">
        <v>16</v>
      </c>
    </row>
    <row r="50" spans="1:13" ht="32.25" thickBot="1">
      <c r="A50" s="17"/>
      <c r="B50" s="18"/>
      <c r="C50" s="19"/>
      <c r="D50" s="23" t="s">
        <v>35</v>
      </c>
      <c r="E50" s="130" t="s">
        <v>50</v>
      </c>
      <c r="F50" s="118">
        <v>200</v>
      </c>
      <c r="G50" s="118">
        <f>F50*2.22/200</f>
        <v>2.2200000000000002</v>
      </c>
      <c r="H50" s="118">
        <f>F50*3.84/200</f>
        <v>3.84</v>
      </c>
      <c r="I50" s="118">
        <f>F50*6.68/200</f>
        <v>6.68</v>
      </c>
      <c r="J50" s="118">
        <f>F50*70.16/200</f>
        <v>70.16</v>
      </c>
      <c r="K50" s="78" t="s">
        <v>97</v>
      </c>
      <c r="L50" s="45">
        <v>18.190000000000001</v>
      </c>
    </row>
    <row r="51" spans="1:13" ht="15.75">
      <c r="A51" s="17"/>
      <c r="B51" s="18"/>
      <c r="C51" s="19"/>
      <c r="D51" s="23" t="s">
        <v>36</v>
      </c>
      <c r="E51" s="128" t="s">
        <v>87</v>
      </c>
      <c r="F51" s="25">
        <v>90</v>
      </c>
      <c r="G51" s="25">
        <f>F51*11.6/90</f>
        <v>11.6</v>
      </c>
      <c r="H51" s="25">
        <f>F51*12.1/90</f>
        <v>12.1</v>
      </c>
      <c r="I51" s="25">
        <f>F51*13.1/90</f>
        <v>13.1</v>
      </c>
      <c r="J51" s="25">
        <f>F51*207.7/90</f>
        <v>207.7</v>
      </c>
      <c r="K51" s="132">
        <v>44533</v>
      </c>
      <c r="L51" s="45">
        <v>70.11</v>
      </c>
    </row>
    <row r="52" spans="1:13" ht="15.75">
      <c r="A52" s="17"/>
      <c r="B52" s="18"/>
      <c r="C52" s="19"/>
      <c r="D52" s="23" t="s">
        <v>37</v>
      </c>
      <c r="E52" s="129" t="s">
        <v>55</v>
      </c>
      <c r="F52" s="44">
        <v>150</v>
      </c>
      <c r="G52" s="44">
        <f>F52*3.25/150</f>
        <v>3.25</v>
      </c>
      <c r="H52" s="44">
        <f>F52*2.85/150</f>
        <v>2.85</v>
      </c>
      <c r="I52" s="44">
        <f>F52*11.9/150</f>
        <v>11.9</v>
      </c>
      <c r="J52" s="44">
        <f>F52*87/150</f>
        <v>87</v>
      </c>
      <c r="K52" s="78">
        <v>44533</v>
      </c>
      <c r="L52" s="45">
        <v>17.04</v>
      </c>
    </row>
    <row r="53" spans="1:13" ht="15.75">
      <c r="A53" s="17"/>
      <c r="B53" s="18"/>
      <c r="C53" s="19"/>
      <c r="D53" s="23" t="s">
        <v>127</v>
      </c>
      <c r="E53" s="129" t="s">
        <v>46</v>
      </c>
      <c r="F53" s="118">
        <v>200</v>
      </c>
      <c r="G53" s="118">
        <v>0</v>
      </c>
      <c r="H53" s="118">
        <v>0</v>
      </c>
      <c r="I53" s="118">
        <v>12</v>
      </c>
      <c r="J53" s="118">
        <v>48</v>
      </c>
      <c r="K53" s="77" t="s">
        <v>47</v>
      </c>
      <c r="L53" s="45">
        <v>12.55</v>
      </c>
    </row>
    <row r="54" spans="1:13" ht="15.75">
      <c r="A54" s="17"/>
      <c r="B54" s="18"/>
      <c r="C54" s="19"/>
      <c r="D54" s="23" t="s">
        <v>40</v>
      </c>
      <c r="E54" s="26" t="s">
        <v>41</v>
      </c>
      <c r="F54" s="25">
        <v>50</v>
      </c>
      <c r="G54" s="25">
        <f>SUM(F54*2.37/30)</f>
        <v>3.95</v>
      </c>
      <c r="H54" s="25">
        <f>SUM(F54*0.3/30)</f>
        <v>0.5</v>
      </c>
      <c r="I54" s="25">
        <f>SUM(F54*14.49/30)</f>
        <v>24.15</v>
      </c>
      <c r="J54" s="25">
        <f>SUM(F54*70.14/30)</f>
        <v>116.9</v>
      </c>
      <c r="K54" s="77" t="s">
        <v>29</v>
      </c>
      <c r="L54" s="45">
        <v>6.4</v>
      </c>
    </row>
    <row r="55" spans="1:13" ht="15.75">
      <c r="A55" s="17"/>
      <c r="B55" s="18"/>
      <c r="C55" s="19"/>
      <c r="D55" s="23" t="s">
        <v>42</v>
      </c>
      <c r="E55" s="127" t="s">
        <v>28</v>
      </c>
      <c r="F55" s="25">
        <v>40</v>
      </c>
      <c r="G55" s="25">
        <f>SUM(F55*1.68/30)</f>
        <v>2.2400000000000002</v>
      </c>
      <c r="H55" s="25">
        <f>SUM(F55*0.33/30)</f>
        <v>0.44000000000000006</v>
      </c>
      <c r="I55" s="25">
        <f>SUM(F55*14.82/30)</f>
        <v>19.759999999999998</v>
      </c>
      <c r="J55" s="25">
        <f>SUM(F55*68.97/30)</f>
        <v>91.960000000000008</v>
      </c>
      <c r="K55" s="77" t="s">
        <v>29</v>
      </c>
      <c r="L55" s="45">
        <v>4.76</v>
      </c>
    </row>
    <row r="56" spans="1:13" ht="15.75">
      <c r="A56" s="17"/>
      <c r="B56" s="18"/>
      <c r="C56" s="19"/>
      <c r="D56" s="20"/>
      <c r="E56" s="21"/>
      <c r="F56" s="45"/>
      <c r="G56" s="45"/>
      <c r="H56" s="45"/>
      <c r="I56" s="45"/>
      <c r="J56" s="45"/>
      <c r="K56" s="58"/>
      <c r="L56" s="45"/>
    </row>
    <row r="57" spans="1:13" ht="15.75">
      <c r="A57" s="17"/>
      <c r="B57" s="18"/>
      <c r="C57" s="19"/>
      <c r="D57" s="20"/>
      <c r="E57" s="21"/>
      <c r="F57" s="45"/>
      <c r="G57" s="45"/>
      <c r="H57" s="45"/>
      <c r="I57" s="45"/>
      <c r="J57" s="45"/>
      <c r="K57" s="58"/>
      <c r="L57" s="45"/>
    </row>
    <row r="58" spans="1:13" ht="15.75">
      <c r="A58" s="27"/>
      <c r="B58" s="28"/>
      <c r="C58" s="29"/>
      <c r="D58" s="30" t="s">
        <v>32</v>
      </c>
      <c r="E58" s="31"/>
      <c r="F58" s="33">
        <f>SUM(F49:F57)</f>
        <v>790</v>
      </c>
      <c r="G58" s="33">
        <f t="shared" ref="G58" si="8">SUM(G49:G57)</f>
        <v>26.5</v>
      </c>
      <c r="H58" s="33">
        <f t="shared" ref="H58" si="9">SUM(H49:H57)</f>
        <v>27.490000000000002</v>
      </c>
      <c r="I58" s="33">
        <f t="shared" ref="I58" si="10">SUM(I49:I57)</f>
        <v>112.85</v>
      </c>
      <c r="J58" s="33">
        <f t="shared" ref="J58:L58" si="11">SUM(J49:J57)</f>
        <v>805.56000000000006</v>
      </c>
      <c r="K58" s="60"/>
      <c r="L58" s="33">
        <f t="shared" si="11"/>
        <v>145.05000000000001</v>
      </c>
    </row>
    <row r="59" spans="1:13" ht="15.75" customHeight="1" thickBot="1">
      <c r="A59" s="38">
        <f>A41</f>
        <v>1</v>
      </c>
      <c r="B59" s="39">
        <f>B41</f>
        <v>3</v>
      </c>
      <c r="C59" s="206" t="s">
        <v>43</v>
      </c>
      <c r="D59" s="207"/>
      <c r="E59" s="40"/>
      <c r="F59" s="48">
        <f>F48+F58</f>
        <v>1413</v>
      </c>
      <c r="G59" s="48">
        <f t="shared" ref="G59" si="12">G48+G58</f>
        <v>62.248000000000005</v>
      </c>
      <c r="H59" s="48">
        <f t="shared" ref="H59" si="13">H48+H58</f>
        <v>60.202000000000005</v>
      </c>
      <c r="I59" s="48">
        <f t="shared" ref="I59" si="14">I48+I58</f>
        <v>214.29599999999999</v>
      </c>
      <c r="J59" s="48">
        <f t="shared" ref="J59:L59" si="15">J48+J58</f>
        <v>1648.3600000000001</v>
      </c>
      <c r="K59" s="41"/>
      <c r="L59" s="48">
        <f t="shared" si="15"/>
        <v>270.09000000000003</v>
      </c>
    </row>
    <row r="60" spans="1:13" ht="16.5" customHeight="1">
      <c r="A60" s="12">
        <v>1</v>
      </c>
      <c r="B60" s="13">
        <v>4</v>
      </c>
      <c r="C60" s="14" t="s">
        <v>23</v>
      </c>
      <c r="D60" s="19"/>
      <c r="E60" s="134"/>
      <c r="F60" s="174"/>
      <c r="G60" s="166"/>
      <c r="H60" s="166"/>
      <c r="I60" s="166"/>
      <c r="J60" s="166"/>
      <c r="K60" s="166"/>
      <c r="L60" s="78"/>
      <c r="M60" s="45"/>
    </row>
    <row r="61" spans="1:13" ht="15.75">
      <c r="A61" s="17"/>
      <c r="B61" s="18"/>
      <c r="C61" s="19"/>
      <c r="D61" s="19" t="s">
        <v>24</v>
      </c>
      <c r="E61" s="23" t="s">
        <v>98</v>
      </c>
      <c r="F61" s="193">
        <v>205</v>
      </c>
      <c r="G61" s="133">
        <f>F61*19.5/200</f>
        <v>19.987500000000001</v>
      </c>
      <c r="H61" s="166">
        <f>F61*21.2/200</f>
        <v>21.73</v>
      </c>
      <c r="I61" s="166">
        <f>F61*17.7/200</f>
        <v>18.142499999999998</v>
      </c>
      <c r="J61" s="166">
        <f>F61*339.6/200</f>
        <v>348.09</v>
      </c>
      <c r="K61" s="166" t="s">
        <v>100</v>
      </c>
      <c r="L61" s="188" t="s">
        <v>140</v>
      </c>
      <c r="M61" s="45"/>
    </row>
    <row r="62" spans="1:13" ht="15.75">
      <c r="A62" s="17"/>
      <c r="B62" s="18"/>
      <c r="C62" s="19"/>
      <c r="D62" s="19" t="s">
        <v>25</v>
      </c>
      <c r="E62" s="82" t="s">
        <v>99</v>
      </c>
      <c r="F62" s="194">
        <v>200</v>
      </c>
      <c r="G62" s="16">
        <v>0.1</v>
      </c>
      <c r="H62" s="16">
        <v>0</v>
      </c>
      <c r="I62" s="16">
        <v>9.8000000000000007</v>
      </c>
      <c r="J62" s="16">
        <v>39</v>
      </c>
      <c r="K62" s="16" t="s">
        <v>101</v>
      </c>
      <c r="L62" s="189" t="s">
        <v>141</v>
      </c>
      <c r="M62" s="45"/>
    </row>
    <row r="63" spans="1:13" ht="15.75">
      <c r="A63" s="17"/>
      <c r="B63" s="18"/>
      <c r="C63" s="19"/>
      <c r="D63" s="19" t="s">
        <v>34</v>
      </c>
      <c r="E63" s="23" t="s">
        <v>30</v>
      </c>
      <c r="F63" s="195">
        <v>60</v>
      </c>
      <c r="G63" s="44">
        <f>F63*6.1/50</f>
        <v>7.32</v>
      </c>
      <c r="H63" s="44">
        <f>F63*3.7/50</f>
        <v>4.4400000000000004</v>
      </c>
      <c r="I63" s="44">
        <f>F63*17.5/50</f>
        <v>21</v>
      </c>
      <c r="J63" s="44">
        <f>F63*127.7/50</f>
        <v>153.24</v>
      </c>
      <c r="K63" s="191">
        <v>44240</v>
      </c>
      <c r="L63" s="190">
        <v>43.27</v>
      </c>
      <c r="M63" s="45"/>
    </row>
    <row r="64" spans="1:13" ht="15.75">
      <c r="A64" s="17"/>
      <c r="B64" s="18"/>
      <c r="C64" s="19"/>
      <c r="D64" s="19" t="s">
        <v>42</v>
      </c>
      <c r="E64" s="23" t="s">
        <v>28</v>
      </c>
      <c r="F64" s="195">
        <v>40</v>
      </c>
      <c r="G64" s="44">
        <f>SUM(F64*1.68/30)</f>
        <v>2.2400000000000002</v>
      </c>
      <c r="H64" s="44">
        <f>SUM(F64*0.33/30)</f>
        <v>0.44000000000000006</v>
      </c>
      <c r="I64" s="44">
        <f>SUM(F64*14.82/30)</f>
        <v>19.759999999999998</v>
      </c>
      <c r="J64" s="44">
        <f>SUM(F64*68.97/30)</f>
        <v>91.960000000000008</v>
      </c>
      <c r="K64" s="44" t="s">
        <v>29</v>
      </c>
      <c r="L64" s="190">
        <v>4.7300000000000004</v>
      </c>
      <c r="M64" s="45"/>
    </row>
    <row r="65" spans="1:13" ht="15.75">
      <c r="A65" s="17"/>
      <c r="B65" s="18"/>
      <c r="C65" s="19"/>
      <c r="D65" s="29"/>
      <c r="E65" s="30"/>
      <c r="F65" s="196"/>
      <c r="G65" s="33"/>
      <c r="H65" s="33"/>
      <c r="I65" s="33"/>
      <c r="J65" s="33"/>
      <c r="K65" s="33"/>
      <c r="L65" s="60"/>
      <c r="M65" s="33"/>
    </row>
    <row r="66" spans="1:13" ht="15.75">
      <c r="A66" s="17"/>
      <c r="B66" s="18"/>
      <c r="C66" s="19"/>
      <c r="D66" s="23" t="s">
        <v>32</v>
      </c>
      <c r="E66" s="23"/>
      <c r="F66" s="193">
        <f>SUM(F60:F64)</f>
        <v>505</v>
      </c>
      <c r="G66" s="166">
        <f>SUM(G60:G64)</f>
        <v>29.647500000000001</v>
      </c>
      <c r="H66" s="166">
        <f>SUM(H60:H64)</f>
        <v>26.610000000000003</v>
      </c>
      <c r="I66" s="166">
        <f>SUM(I60:I64)</f>
        <v>68.702499999999986</v>
      </c>
      <c r="J66" s="166">
        <f>SUM(J60:J64)</f>
        <v>632.29</v>
      </c>
      <c r="K66" s="166"/>
      <c r="L66" s="75" t="s">
        <v>131</v>
      </c>
      <c r="M66" s="45"/>
    </row>
    <row r="67" spans="1:13" ht="31.5">
      <c r="A67" s="182">
        <v>1</v>
      </c>
      <c r="B67" s="182">
        <v>4</v>
      </c>
      <c r="C67" s="181" t="s">
        <v>33</v>
      </c>
      <c r="D67" s="180" t="s">
        <v>34</v>
      </c>
      <c r="E67" s="192" t="s">
        <v>102</v>
      </c>
      <c r="F67" s="193">
        <v>60</v>
      </c>
      <c r="G67" s="166">
        <v>0.72</v>
      </c>
      <c r="H67" s="166">
        <v>3.6</v>
      </c>
      <c r="I67" s="166">
        <v>7.48</v>
      </c>
      <c r="J67" s="166">
        <v>65.209999999999994</v>
      </c>
      <c r="K67" s="166">
        <v>17</v>
      </c>
      <c r="L67" s="75" t="s">
        <v>144</v>
      </c>
      <c r="M67" s="45"/>
    </row>
    <row r="68" spans="1:13" ht="31.5">
      <c r="A68" s="17"/>
      <c r="B68" s="42"/>
      <c r="C68" s="19"/>
      <c r="D68" s="19" t="s">
        <v>35</v>
      </c>
      <c r="E68" s="192" t="s">
        <v>103</v>
      </c>
      <c r="F68" s="197">
        <v>205</v>
      </c>
      <c r="G68" s="16">
        <f>F68*6.22/200</f>
        <v>6.3754999999999997</v>
      </c>
      <c r="H68" s="25">
        <f>F68*7.56/200</f>
        <v>7.7489999999999997</v>
      </c>
      <c r="I68" s="25">
        <f>F68*27.03/200</f>
        <v>27.705750000000002</v>
      </c>
      <c r="J68" s="25">
        <f>F68*201.04/200</f>
        <v>206.06599999999997</v>
      </c>
      <c r="K68" s="25" t="s">
        <v>105</v>
      </c>
      <c r="L68" s="75" t="s">
        <v>142</v>
      </c>
      <c r="M68" s="45"/>
    </row>
    <row r="69" spans="1:13" ht="15.75">
      <c r="A69" s="17"/>
      <c r="B69" s="18"/>
      <c r="C69" s="19"/>
      <c r="D69" s="19" t="s">
        <v>36</v>
      </c>
      <c r="E69" s="23" t="s">
        <v>104</v>
      </c>
      <c r="F69" s="198">
        <v>90</v>
      </c>
      <c r="G69" s="25">
        <f>F69*11.68/90</f>
        <v>11.68</v>
      </c>
      <c r="H69" s="25">
        <f>F69*11.61/90</f>
        <v>11.609999999999998</v>
      </c>
      <c r="I69" s="25">
        <f>F69*5.76/90</f>
        <v>5.76</v>
      </c>
      <c r="J69" s="25">
        <f>F69*175/90</f>
        <v>175</v>
      </c>
      <c r="K69" s="44" t="s">
        <v>106</v>
      </c>
      <c r="L69" s="75" t="s">
        <v>143</v>
      </c>
      <c r="M69" s="45"/>
    </row>
    <row r="70" spans="1:13" ht="15.75">
      <c r="A70" s="17"/>
      <c r="B70" s="18"/>
      <c r="C70" s="19"/>
      <c r="D70" s="19" t="s">
        <v>37</v>
      </c>
      <c r="E70" s="23" t="s">
        <v>57</v>
      </c>
      <c r="F70" s="193">
        <v>150</v>
      </c>
      <c r="G70" s="166">
        <f>F70*3.17/150</f>
        <v>3.17</v>
      </c>
      <c r="H70" s="166">
        <f>F70*3.67/150</f>
        <v>3.67</v>
      </c>
      <c r="I70" s="166">
        <f>F70*20.4/150</f>
        <v>20.399999999999999</v>
      </c>
      <c r="J70" s="166">
        <f>F70*127.5/150</f>
        <v>127.5</v>
      </c>
      <c r="K70" s="166">
        <v>44258</v>
      </c>
      <c r="L70" s="77">
        <v>18.170000000000002</v>
      </c>
      <c r="M70" s="45"/>
    </row>
    <row r="71" spans="1:13" ht="15.75">
      <c r="A71" s="17"/>
      <c r="B71" s="18"/>
      <c r="C71" s="19"/>
      <c r="D71" s="19" t="s">
        <v>127</v>
      </c>
      <c r="E71" s="23" t="s">
        <v>61</v>
      </c>
      <c r="F71" s="199">
        <v>200</v>
      </c>
      <c r="G71" s="25">
        <v>0.2</v>
      </c>
      <c r="H71" s="25">
        <v>0.1</v>
      </c>
      <c r="I71" s="25">
        <v>13.1</v>
      </c>
      <c r="J71" s="25">
        <v>54.1</v>
      </c>
      <c r="K71" s="25" t="s">
        <v>62</v>
      </c>
      <c r="L71" s="58">
        <v>7.73</v>
      </c>
      <c r="M71" s="45"/>
    </row>
    <row r="72" spans="1:13" ht="15.75">
      <c r="A72" s="17"/>
      <c r="B72" s="18"/>
      <c r="C72" s="19"/>
      <c r="D72" s="19" t="s">
        <v>40</v>
      </c>
      <c r="E72" s="23" t="s">
        <v>41</v>
      </c>
      <c r="F72" s="194">
        <v>50</v>
      </c>
      <c r="G72" s="44">
        <f>SUM(F72*2.37/30)</f>
        <v>3.95</v>
      </c>
      <c r="H72" s="44">
        <f>SUM(F72*0.3/30)</f>
        <v>0.5</v>
      </c>
      <c r="I72" s="44">
        <f>SUM(F72*14.49/30)</f>
        <v>24.15</v>
      </c>
      <c r="J72" s="44">
        <f>SUM(F72*70.14/30)</f>
        <v>116.9</v>
      </c>
      <c r="K72" s="44" t="s">
        <v>29</v>
      </c>
      <c r="L72" s="77">
        <v>6.4</v>
      </c>
      <c r="M72" s="45"/>
    </row>
    <row r="73" spans="1:13" ht="15.75">
      <c r="A73" s="17"/>
      <c r="B73" s="18"/>
      <c r="C73" s="19"/>
      <c r="D73" s="19" t="s">
        <v>42</v>
      </c>
      <c r="E73" s="20" t="s">
        <v>28</v>
      </c>
      <c r="F73" s="200">
        <v>30</v>
      </c>
      <c r="G73" s="45">
        <f>SUM(F73*1.68/30)</f>
        <v>1.68</v>
      </c>
      <c r="H73" s="45">
        <f>SUM(F73*0.33/30)</f>
        <v>0.33</v>
      </c>
      <c r="I73" s="45">
        <f>SUM(F73*14.82/30)</f>
        <v>14.82</v>
      </c>
      <c r="J73" s="45">
        <f>SUM(F73*68.97/30)</f>
        <v>68.97</v>
      </c>
      <c r="K73" s="45" t="s">
        <v>29</v>
      </c>
      <c r="L73" s="58">
        <v>3.55</v>
      </c>
      <c r="M73" s="45"/>
    </row>
    <row r="74" spans="1:13" ht="15.75">
      <c r="A74" s="17"/>
      <c r="B74" s="18"/>
      <c r="C74" s="19"/>
      <c r="D74" s="19"/>
      <c r="E74" s="20"/>
      <c r="F74" s="21"/>
      <c r="G74" s="45"/>
      <c r="H74" s="45"/>
      <c r="I74" s="45"/>
      <c r="J74" s="45"/>
      <c r="K74" s="45"/>
      <c r="L74" s="58"/>
      <c r="M74" s="45"/>
    </row>
    <row r="75" spans="1:13" ht="15.75">
      <c r="A75" s="17"/>
      <c r="B75" s="18"/>
      <c r="C75" s="19"/>
      <c r="D75" s="29"/>
      <c r="E75" s="30"/>
      <c r="F75" s="31"/>
      <c r="G75" s="33"/>
      <c r="H75" s="33"/>
      <c r="I75" s="33"/>
      <c r="J75" s="33"/>
      <c r="K75" s="33"/>
      <c r="L75" s="60"/>
      <c r="M75" s="32"/>
    </row>
    <row r="76" spans="1:13" ht="16.5" customHeight="1" thickBot="1">
      <c r="A76" s="17"/>
      <c r="B76" s="18"/>
      <c r="C76" s="19"/>
      <c r="D76" s="178" t="s">
        <v>32</v>
      </c>
      <c r="E76" s="179"/>
      <c r="F76" s="40">
        <f>SUM(F67:F75)</f>
        <v>785</v>
      </c>
      <c r="G76" s="48">
        <f>SUM(G67:G75)</f>
        <v>27.775500000000001</v>
      </c>
      <c r="H76" s="48">
        <f>SUM(H67:H75)</f>
        <v>27.558999999999997</v>
      </c>
      <c r="I76" s="48">
        <f>SUM(I67:I75)</f>
        <v>113.41574999999997</v>
      </c>
      <c r="J76" s="48">
        <f>SUM(J67:J75)</f>
        <v>813.74599999999998</v>
      </c>
      <c r="K76" s="48"/>
      <c r="L76" s="201">
        <f>L67+L68+L69+L70+L71+L72+L73</f>
        <v>145.05000000000001</v>
      </c>
      <c r="M76" s="41"/>
    </row>
    <row r="77" spans="1:13" ht="16.5" thickBot="1">
      <c r="A77" s="27">
        <v>1</v>
      </c>
      <c r="B77" s="28">
        <v>4</v>
      </c>
      <c r="C77" s="29" t="s">
        <v>43</v>
      </c>
      <c r="D77" s="30"/>
      <c r="E77" s="31"/>
      <c r="F77" s="33">
        <f>F66+F76</f>
        <v>1290</v>
      </c>
      <c r="G77" s="33">
        <f>G66+G76</f>
        <v>57.423000000000002</v>
      </c>
      <c r="H77" s="33">
        <f>H66+H76</f>
        <v>54.168999999999997</v>
      </c>
      <c r="I77" s="33">
        <f>I66+I76</f>
        <v>182.11824999999996</v>
      </c>
      <c r="J77" s="33">
        <f>J66+J76</f>
        <v>1446.0360000000001</v>
      </c>
      <c r="K77" s="60"/>
      <c r="L77" s="33">
        <f>L66+L76</f>
        <v>270.09000000000003</v>
      </c>
    </row>
    <row r="78" spans="1:13" ht="15.75">
      <c r="A78" s="12">
        <v>1</v>
      </c>
      <c r="B78" s="13">
        <v>5</v>
      </c>
      <c r="C78" s="14" t="s">
        <v>23</v>
      </c>
      <c r="D78" s="19" t="s">
        <v>24</v>
      </c>
      <c r="E78" s="134" t="s">
        <v>128</v>
      </c>
      <c r="F78" s="202">
        <v>150</v>
      </c>
      <c r="G78" s="166">
        <v>18.45</v>
      </c>
      <c r="H78" s="166">
        <v>18.45</v>
      </c>
      <c r="I78" s="166">
        <v>23.27</v>
      </c>
      <c r="J78" s="166">
        <v>332.88</v>
      </c>
      <c r="K78" s="166">
        <v>44263</v>
      </c>
      <c r="L78" s="78" t="s">
        <v>146</v>
      </c>
    </row>
    <row r="79" spans="1:13" ht="15.75">
      <c r="A79" s="17"/>
      <c r="B79" s="18"/>
      <c r="C79" s="19"/>
      <c r="D79" s="19" t="s">
        <v>25</v>
      </c>
      <c r="E79" s="23" t="s">
        <v>129</v>
      </c>
      <c r="F79" s="193">
        <v>200</v>
      </c>
      <c r="G79" s="133">
        <v>0.1</v>
      </c>
      <c r="H79" s="166">
        <v>0</v>
      </c>
      <c r="I79" s="166">
        <v>9.9</v>
      </c>
      <c r="J79" s="166">
        <v>40</v>
      </c>
      <c r="K79" s="166">
        <v>45686</v>
      </c>
      <c r="L79" s="78" t="s">
        <v>147</v>
      </c>
    </row>
    <row r="80" spans="1:13" ht="15.75">
      <c r="A80" s="17"/>
      <c r="B80" s="18"/>
      <c r="C80" s="19"/>
      <c r="D80" s="19" t="s">
        <v>40</v>
      </c>
      <c r="E80" s="82" t="s">
        <v>41</v>
      </c>
      <c r="F80" s="194">
        <v>50</v>
      </c>
      <c r="G80" s="16">
        <v>3.95</v>
      </c>
      <c r="H80" s="16">
        <v>0.5</v>
      </c>
      <c r="I80" s="16">
        <v>24.15</v>
      </c>
      <c r="J80" s="16">
        <v>116.9</v>
      </c>
      <c r="K80" s="184" t="s">
        <v>29</v>
      </c>
      <c r="L80" s="78" t="s">
        <v>148</v>
      </c>
    </row>
    <row r="81" spans="1:12" ht="15.75">
      <c r="A81" s="17"/>
      <c r="B81" s="18"/>
      <c r="C81" s="19"/>
      <c r="D81" s="19" t="s">
        <v>42</v>
      </c>
      <c r="E81" s="23" t="s">
        <v>130</v>
      </c>
      <c r="F81" s="195">
        <v>50</v>
      </c>
      <c r="G81" s="44">
        <v>2.8</v>
      </c>
      <c r="H81" s="44">
        <v>0.55000000000000004</v>
      </c>
      <c r="I81" s="44">
        <v>24.7</v>
      </c>
      <c r="J81" s="44">
        <v>114.95</v>
      </c>
      <c r="K81" s="185" t="s">
        <v>29</v>
      </c>
      <c r="L81" s="58">
        <v>5.92</v>
      </c>
    </row>
    <row r="82" spans="1:12" ht="15.75">
      <c r="A82" s="17"/>
      <c r="B82" s="18"/>
      <c r="C82" s="19"/>
      <c r="D82" s="19" t="s">
        <v>34</v>
      </c>
      <c r="E82" s="183" t="s">
        <v>145</v>
      </c>
      <c r="F82" s="195">
        <v>60</v>
      </c>
      <c r="G82" s="44">
        <v>0.9</v>
      </c>
      <c r="H82" s="44">
        <v>4.5</v>
      </c>
      <c r="I82" s="44">
        <v>12.15</v>
      </c>
      <c r="J82" s="44">
        <v>92.7</v>
      </c>
      <c r="K82" s="44">
        <v>25.1</v>
      </c>
      <c r="L82" s="58">
        <v>8.07</v>
      </c>
    </row>
    <row r="83" spans="1:12" ht="15.75">
      <c r="A83" s="17"/>
      <c r="B83" s="18"/>
      <c r="C83" s="19"/>
      <c r="D83" s="29"/>
      <c r="E83" s="30"/>
      <c r="F83" s="196"/>
      <c r="G83" s="33"/>
      <c r="H83" s="33"/>
      <c r="I83" s="33"/>
      <c r="J83" s="33"/>
      <c r="K83" s="33"/>
      <c r="L83" s="60"/>
    </row>
    <row r="84" spans="1:12" ht="15.75">
      <c r="A84" s="27"/>
      <c r="B84" s="28"/>
      <c r="C84" s="19"/>
      <c r="D84" s="36" t="s">
        <v>32</v>
      </c>
      <c r="E84" s="23"/>
      <c r="F84" s="193">
        <f>SUM(F78:F82)</f>
        <v>510</v>
      </c>
      <c r="G84" s="166">
        <f>SUM(G78:G82)</f>
        <v>26.2</v>
      </c>
      <c r="H84" s="166">
        <f>SUM(H78:H82)</f>
        <v>24</v>
      </c>
      <c r="I84" s="166">
        <f>SUM(I78:I82)</f>
        <v>94.17</v>
      </c>
      <c r="J84" s="166">
        <f>SUM(J78:J82)</f>
        <v>697.43000000000006</v>
      </c>
      <c r="K84" s="166"/>
      <c r="L84" s="75" t="s">
        <v>131</v>
      </c>
    </row>
    <row r="85" spans="1:12" ht="47.25">
      <c r="A85" s="34">
        <f>A78</f>
        <v>1</v>
      </c>
      <c r="B85" s="35">
        <f>B78</f>
        <v>5</v>
      </c>
      <c r="C85" s="29" t="s">
        <v>33</v>
      </c>
      <c r="D85" s="23" t="s">
        <v>34</v>
      </c>
      <c r="E85" s="183" t="s">
        <v>132</v>
      </c>
      <c r="F85" s="193">
        <v>75</v>
      </c>
      <c r="G85" s="166">
        <v>1.36</v>
      </c>
      <c r="H85" s="166">
        <f>F85*3.6/60</f>
        <v>4.5</v>
      </c>
      <c r="I85" s="166">
        <v>6.32</v>
      </c>
      <c r="J85" s="166">
        <v>73.92</v>
      </c>
      <c r="K85" s="166">
        <v>44348</v>
      </c>
      <c r="L85" s="75" t="s">
        <v>149</v>
      </c>
    </row>
    <row r="86" spans="1:12" ht="15.75">
      <c r="A86" s="17"/>
      <c r="B86" s="18"/>
      <c r="C86" s="36"/>
      <c r="D86" s="19" t="s">
        <v>35</v>
      </c>
      <c r="E86" s="82" t="s">
        <v>133</v>
      </c>
      <c r="F86" s="197">
        <v>220</v>
      </c>
      <c r="G86" s="16">
        <v>7.76</v>
      </c>
      <c r="H86" s="25">
        <v>3.84</v>
      </c>
      <c r="I86" s="25">
        <v>10.48</v>
      </c>
      <c r="J86" s="25">
        <v>107.52</v>
      </c>
      <c r="K86" s="25">
        <v>73</v>
      </c>
      <c r="L86" s="75" t="s">
        <v>150</v>
      </c>
    </row>
    <row r="87" spans="1:12" ht="15.75">
      <c r="A87" s="17"/>
      <c r="B87" s="18"/>
      <c r="C87" s="19"/>
      <c r="D87" s="19" t="s">
        <v>36</v>
      </c>
      <c r="E87" s="82" t="s">
        <v>134</v>
      </c>
      <c r="F87" s="198">
        <v>90</v>
      </c>
      <c r="G87" s="25">
        <v>14.8</v>
      </c>
      <c r="H87" s="25">
        <v>12.4</v>
      </c>
      <c r="I87" s="25">
        <v>9.1</v>
      </c>
      <c r="J87" s="25">
        <v>207</v>
      </c>
      <c r="K87" s="44">
        <v>44325</v>
      </c>
      <c r="L87" s="75" t="s">
        <v>151</v>
      </c>
    </row>
    <row r="88" spans="1:12" ht="15.75">
      <c r="A88" s="17"/>
      <c r="B88" s="18"/>
      <c r="C88" s="19"/>
      <c r="D88" s="19" t="s">
        <v>37</v>
      </c>
      <c r="E88" s="82" t="s">
        <v>51</v>
      </c>
      <c r="F88" s="193">
        <v>150</v>
      </c>
      <c r="G88" s="166">
        <v>6.63</v>
      </c>
      <c r="H88" s="166">
        <v>4.4400000000000004</v>
      </c>
      <c r="I88" s="166">
        <v>28.8</v>
      </c>
      <c r="J88" s="166">
        <v>181.5</v>
      </c>
      <c r="K88" s="166">
        <v>39.299999999999997</v>
      </c>
      <c r="L88" s="77">
        <v>9.51</v>
      </c>
    </row>
    <row r="89" spans="1:12" ht="15.75">
      <c r="A89" s="17"/>
      <c r="B89" s="18"/>
      <c r="C89" s="19"/>
      <c r="D89" s="186" t="s">
        <v>127</v>
      </c>
      <c r="E89" s="82" t="s">
        <v>135</v>
      </c>
      <c r="F89" s="199">
        <v>200</v>
      </c>
      <c r="G89" s="25">
        <v>0.2</v>
      </c>
      <c r="H89" s="25">
        <v>0.2</v>
      </c>
      <c r="I89" s="25">
        <v>16.8</v>
      </c>
      <c r="J89" s="25">
        <v>70</v>
      </c>
      <c r="K89" s="25">
        <v>44296</v>
      </c>
      <c r="L89" s="58">
        <v>16.100000000000001</v>
      </c>
    </row>
    <row r="90" spans="1:12" ht="15.75">
      <c r="A90" s="17"/>
      <c r="B90" s="18"/>
      <c r="C90" s="19"/>
      <c r="D90" s="19" t="s">
        <v>40</v>
      </c>
      <c r="E90" s="23" t="s">
        <v>41</v>
      </c>
      <c r="F90" s="194">
        <v>50</v>
      </c>
      <c r="G90" s="44">
        <v>3.95</v>
      </c>
      <c r="H90" s="44">
        <v>0.5</v>
      </c>
      <c r="I90" s="44">
        <v>24.15</v>
      </c>
      <c r="J90" s="44">
        <v>116.9</v>
      </c>
      <c r="K90" s="185" t="s">
        <v>29</v>
      </c>
      <c r="L90" s="77">
        <v>6.4</v>
      </c>
    </row>
    <row r="91" spans="1:12" ht="15.75">
      <c r="A91" s="17"/>
      <c r="B91" s="18"/>
      <c r="C91" s="19"/>
      <c r="D91" s="19" t="s">
        <v>42</v>
      </c>
      <c r="E91" s="20" t="s">
        <v>28</v>
      </c>
      <c r="F91" s="200">
        <v>35</v>
      </c>
      <c r="G91" s="45">
        <v>1.96</v>
      </c>
      <c r="H91" s="45">
        <v>0.39</v>
      </c>
      <c r="I91" s="45">
        <v>17.29</v>
      </c>
      <c r="J91" s="45">
        <v>80.47</v>
      </c>
      <c r="K91" s="45" t="s">
        <v>29</v>
      </c>
      <c r="L91" s="58">
        <v>4.1399999999999997</v>
      </c>
    </row>
    <row r="92" spans="1:12" ht="15.75">
      <c r="A92" s="17"/>
      <c r="B92" s="18"/>
      <c r="C92" s="19"/>
      <c r="D92" s="19"/>
      <c r="E92" s="20"/>
      <c r="F92" s="21"/>
      <c r="G92" s="45"/>
      <c r="H92" s="45"/>
      <c r="I92" s="45"/>
      <c r="J92" s="45"/>
      <c r="K92" s="45"/>
      <c r="L92" s="58"/>
    </row>
    <row r="93" spans="1:12" ht="15.75">
      <c r="A93" s="17"/>
      <c r="B93" s="18"/>
      <c r="C93" s="19"/>
      <c r="D93" s="29"/>
      <c r="E93" s="30"/>
      <c r="F93" s="31"/>
      <c r="G93" s="33"/>
      <c r="H93" s="33"/>
      <c r="I93" s="33"/>
      <c r="J93" s="33"/>
      <c r="K93" s="33"/>
      <c r="L93" s="60"/>
    </row>
    <row r="94" spans="1:12" ht="16.5" thickBot="1">
      <c r="A94" s="27"/>
      <c r="B94" s="28"/>
      <c r="C94" s="19"/>
      <c r="D94" s="176" t="s">
        <v>32</v>
      </c>
      <c r="E94" s="177"/>
      <c r="F94" s="40">
        <f>SUM(F85:F93)</f>
        <v>820</v>
      </c>
      <c r="G94" s="48">
        <f t="shared" ref="G94" si="16">SUM(G85:G93)</f>
        <v>36.660000000000004</v>
      </c>
      <c r="H94" s="48">
        <f t="shared" ref="H94" si="17">SUM(H85:H93)</f>
        <v>26.270000000000003</v>
      </c>
      <c r="I94" s="48">
        <f t="shared" ref="I94" si="18">SUM(I85:I93)</f>
        <v>112.94</v>
      </c>
      <c r="J94" s="48">
        <f t="shared" ref="J94" si="19">SUM(J85:J93)</f>
        <v>837.31000000000006</v>
      </c>
      <c r="K94" s="48"/>
      <c r="L94" s="41">
        <v>145.05000000000001</v>
      </c>
    </row>
    <row r="95" spans="1:12" ht="15.75" customHeight="1" thickBot="1">
      <c r="A95" s="38">
        <f>A78</f>
        <v>1</v>
      </c>
      <c r="B95" s="39">
        <f>B78</f>
        <v>5</v>
      </c>
      <c r="C95" s="29" t="s">
        <v>43</v>
      </c>
      <c r="D95" s="30"/>
      <c r="E95" s="31"/>
      <c r="F95" s="33">
        <f>F84+F94</f>
        <v>1330</v>
      </c>
      <c r="G95" s="33">
        <f t="shared" ref="G95" si="20">G84+G94</f>
        <v>62.86</v>
      </c>
      <c r="H95" s="33">
        <f t="shared" ref="H95" si="21">H84+H94</f>
        <v>50.27</v>
      </c>
      <c r="I95" s="33">
        <f t="shared" ref="I95" si="22">I84+I94</f>
        <v>207.11</v>
      </c>
      <c r="J95" s="33">
        <f t="shared" ref="J95:L95" si="23">J84+J94</f>
        <v>1534.7400000000002</v>
      </c>
      <c r="K95" s="60"/>
      <c r="L95" s="33">
        <f t="shared" si="23"/>
        <v>270.09000000000003</v>
      </c>
    </row>
    <row r="96" spans="1:12" ht="16.5" thickBot="1">
      <c r="A96" s="12">
        <v>2</v>
      </c>
      <c r="B96" s="13">
        <v>1</v>
      </c>
      <c r="C96" s="187" t="s">
        <v>23</v>
      </c>
      <c r="D96" s="203" t="s">
        <v>24</v>
      </c>
      <c r="E96" s="40" t="s">
        <v>107</v>
      </c>
      <c r="F96" s="48">
        <v>200</v>
      </c>
      <c r="G96" s="48">
        <f>F96*5.5/200</f>
        <v>5.5</v>
      </c>
      <c r="H96" s="48">
        <f>F96*9.9/200</f>
        <v>9.9</v>
      </c>
      <c r="I96" s="48">
        <f>F96*39.26/200</f>
        <v>39.26</v>
      </c>
      <c r="J96" s="48">
        <f>F96*268/200</f>
        <v>268</v>
      </c>
      <c r="K96" s="41">
        <v>44443</v>
      </c>
      <c r="L96" s="48">
        <v>34.340000000000003</v>
      </c>
    </row>
    <row r="97" spans="1:12" ht="15.75">
      <c r="A97" s="17"/>
      <c r="B97" s="18"/>
      <c r="C97" s="19"/>
      <c r="D97" s="29" t="s">
        <v>25</v>
      </c>
      <c r="E97" s="137" t="s">
        <v>26</v>
      </c>
      <c r="F97" s="138">
        <v>200</v>
      </c>
      <c r="G97" s="138">
        <v>3.1</v>
      </c>
      <c r="H97" s="138">
        <v>3.2</v>
      </c>
      <c r="I97" s="138">
        <v>14.4</v>
      </c>
      <c r="J97" s="138">
        <v>99</v>
      </c>
      <c r="K97" s="77" t="s">
        <v>63</v>
      </c>
      <c r="L97" s="45">
        <v>22.3</v>
      </c>
    </row>
    <row r="98" spans="1:12" ht="15.75">
      <c r="A98" s="17"/>
      <c r="B98" s="18"/>
      <c r="C98" s="19"/>
      <c r="D98" s="20" t="s">
        <v>27</v>
      </c>
      <c r="E98" s="136" t="s">
        <v>30</v>
      </c>
      <c r="F98" s="16">
        <v>60</v>
      </c>
      <c r="G98" s="16">
        <f>F98*6.1/50</f>
        <v>7.32</v>
      </c>
      <c r="H98" s="16">
        <f>F98*3.7/50</f>
        <v>4.4400000000000004</v>
      </c>
      <c r="I98" s="16">
        <f>F98*17.5/50</f>
        <v>21</v>
      </c>
      <c r="J98" s="16">
        <f>F98*127.7/50</f>
        <v>153.24</v>
      </c>
      <c r="K98" s="62">
        <v>44240</v>
      </c>
      <c r="L98" s="45">
        <v>33.700000000000003</v>
      </c>
    </row>
    <row r="99" spans="1:12" ht="15.75">
      <c r="A99" s="17"/>
      <c r="B99" s="18"/>
      <c r="C99" s="19"/>
      <c r="D99" s="23" t="s">
        <v>42</v>
      </c>
      <c r="E99" s="137" t="s">
        <v>28</v>
      </c>
      <c r="F99" s="44">
        <v>30</v>
      </c>
      <c r="G99" s="44">
        <f>SUM(F99*1.68/30)</f>
        <v>1.68</v>
      </c>
      <c r="H99" s="44">
        <f>SUM(F99*0.33/30)</f>
        <v>0.33</v>
      </c>
      <c r="I99" s="44">
        <f>SUM(F99*14.82/30)</f>
        <v>14.82</v>
      </c>
      <c r="J99" s="44">
        <f>SUM(F99*68.97/30)</f>
        <v>68.97</v>
      </c>
      <c r="K99" s="77" t="s">
        <v>29</v>
      </c>
      <c r="L99" s="45">
        <v>3.55</v>
      </c>
    </row>
    <row r="100" spans="1:12" ht="15.75">
      <c r="A100" s="17"/>
      <c r="B100" s="18"/>
      <c r="C100" s="19"/>
      <c r="D100" s="20" t="s">
        <v>64</v>
      </c>
      <c r="E100" s="135" t="s">
        <v>76</v>
      </c>
      <c r="F100" s="25">
        <v>175</v>
      </c>
      <c r="G100" s="25">
        <f>F100*0.4/100</f>
        <v>0.7</v>
      </c>
      <c r="H100" s="25">
        <f>F100*0.4/100</f>
        <v>0.7</v>
      </c>
      <c r="I100" s="25">
        <f>F100*10.95/100</f>
        <v>19.162499999999998</v>
      </c>
      <c r="J100" s="25">
        <f>F100*49/100</f>
        <v>85.75</v>
      </c>
      <c r="K100" s="75" t="s">
        <v>29</v>
      </c>
      <c r="L100" s="45">
        <v>31.15</v>
      </c>
    </row>
    <row r="101" spans="1:12" ht="15.75">
      <c r="A101" s="17"/>
      <c r="B101" s="18"/>
      <c r="C101" s="19"/>
      <c r="D101" s="20"/>
      <c r="E101" s="21"/>
      <c r="F101" s="45"/>
      <c r="G101" s="45"/>
      <c r="H101" s="45"/>
      <c r="I101" s="45"/>
      <c r="J101" s="45"/>
      <c r="K101" s="58"/>
      <c r="L101" s="45"/>
    </row>
    <row r="102" spans="1:12" ht="15.75">
      <c r="A102" s="27"/>
      <c r="B102" s="28"/>
      <c r="C102" s="29"/>
      <c r="D102" s="30" t="s">
        <v>32</v>
      </c>
      <c r="E102" s="31"/>
      <c r="F102" s="33">
        <f>SUM(F96:F101)</f>
        <v>665</v>
      </c>
      <c r="G102" s="33">
        <f>SUM(G96:G101)</f>
        <v>18.3</v>
      </c>
      <c r="H102" s="33">
        <f>SUM(H96:H101)</f>
        <v>18.57</v>
      </c>
      <c r="I102" s="33">
        <f>SUM(I96:I101)+0.01</f>
        <v>108.65249999999999</v>
      </c>
      <c r="J102" s="33">
        <f>SUM(J96:J101)</f>
        <v>674.96</v>
      </c>
      <c r="K102" s="60"/>
      <c r="L102" s="33">
        <f>SUM(L96:L101)</f>
        <v>125.03999999999999</v>
      </c>
    </row>
    <row r="103" spans="1:12" ht="31.5">
      <c r="A103" s="34">
        <f>A96</f>
        <v>2</v>
      </c>
      <c r="B103" s="35">
        <f>B96</f>
        <v>1</v>
      </c>
      <c r="C103" s="36" t="s">
        <v>33</v>
      </c>
      <c r="D103" s="23" t="s">
        <v>34</v>
      </c>
      <c r="E103" s="79" t="s">
        <v>84</v>
      </c>
      <c r="F103" s="25">
        <v>75</v>
      </c>
      <c r="G103" s="25">
        <f>F103*1.5/60</f>
        <v>1.875</v>
      </c>
      <c r="H103" s="25">
        <f>F103*6/60</f>
        <v>7.5</v>
      </c>
      <c r="I103" s="25">
        <f>F103*4.25/60</f>
        <v>5.3125</v>
      </c>
      <c r="J103" s="25">
        <f>F103*77/60</f>
        <v>96.25</v>
      </c>
      <c r="K103" s="62">
        <v>44409</v>
      </c>
      <c r="L103" s="44">
        <v>16.010000000000002</v>
      </c>
    </row>
    <row r="104" spans="1:12" ht="15.75">
      <c r="A104" s="17"/>
      <c r="B104" s="18"/>
      <c r="C104" s="19"/>
      <c r="D104" s="23" t="s">
        <v>35</v>
      </c>
      <c r="E104" s="79" t="s">
        <v>81</v>
      </c>
      <c r="F104" s="25">
        <v>250</v>
      </c>
      <c r="G104" s="25">
        <f>F104*2.56/200</f>
        <v>3.2</v>
      </c>
      <c r="H104" s="25">
        <f>F104*2.96/200</f>
        <v>3.7</v>
      </c>
      <c r="I104" s="25">
        <f>F104*17.44/200</f>
        <v>21.8</v>
      </c>
      <c r="J104" s="25">
        <f>F104*106.4/200</f>
        <v>133</v>
      </c>
      <c r="K104" s="78" t="s">
        <v>82</v>
      </c>
      <c r="L104" s="44">
        <v>34.47</v>
      </c>
    </row>
    <row r="105" spans="1:12" ht="15.75">
      <c r="A105" s="17"/>
      <c r="B105" s="18"/>
      <c r="C105" s="19"/>
      <c r="D105" s="23" t="s">
        <v>36</v>
      </c>
      <c r="E105" s="43" t="s">
        <v>45</v>
      </c>
      <c r="F105" s="25">
        <v>90</v>
      </c>
      <c r="G105" s="25">
        <f>F105*13.32/90</f>
        <v>13.32</v>
      </c>
      <c r="H105" s="25">
        <f>F105*11.16/90</f>
        <v>11.16</v>
      </c>
      <c r="I105" s="25">
        <f>F105*8.19/90</f>
        <v>8.19</v>
      </c>
      <c r="J105" s="25">
        <f>F105*186.3/90</f>
        <v>186.3</v>
      </c>
      <c r="K105" s="58">
        <v>44325</v>
      </c>
      <c r="L105" s="44">
        <v>6.14</v>
      </c>
    </row>
    <row r="106" spans="1:12" ht="15.75">
      <c r="A106" s="17"/>
      <c r="B106" s="18"/>
      <c r="C106" s="19"/>
      <c r="D106" s="23" t="s">
        <v>37</v>
      </c>
      <c r="E106" s="50" t="s">
        <v>51</v>
      </c>
      <c r="F106" s="25">
        <v>150</v>
      </c>
      <c r="G106" s="25">
        <f>F106*6.63/150</f>
        <v>6.63</v>
      </c>
      <c r="H106" s="25">
        <f>F106*4.44/150</f>
        <v>4.4400000000000004</v>
      </c>
      <c r="I106" s="25">
        <f>F106*28.8/150</f>
        <v>28.8</v>
      </c>
      <c r="J106" s="25">
        <f>F106*181.5/150</f>
        <v>181.5</v>
      </c>
      <c r="K106" s="62" t="s">
        <v>69</v>
      </c>
      <c r="L106" s="44">
        <v>60.55</v>
      </c>
    </row>
    <row r="107" spans="1:12" ht="15.75">
      <c r="A107" s="17"/>
      <c r="B107" s="18"/>
      <c r="C107" s="19"/>
      <c r="D107" s="23" t="s">
        <v>127</v>
      </c>
      <c r="E107" s="140" t="s">
        <v>108</v>
      </c>
      <c r="F107" s="141">
        <v>200</v>
      </c>
      <c r="G107" s="141">
        <v>1</v>
      </c>
      <c r="H107" s="141">
        <v>0</v>
      </c>
      <c r="I107" s="141">
        <v>27.4</v>
      </c>
      <c r="J107" s="141">
        <v>113.6</v>
      </c>
      <c r="K107" s="78" t="s">
        <v>109</v>
      </c>
      <c r="L107" s="44">
        <v>9.51</v>
      </c>
    </row>
    <row r="108" spans="1:12" ht="15.75">
      <c r="A108" s="17"/>
      <c r="B108" s="18"/>
      <c r="C108" s="19"/>
      <c r="D108" s="82" t="s">
        <v>40</v>
      </c>
      <c r="E108" s="80" t="s">
        <v>75</v>
      </c>
      <c r="F108" s="25">
        <v>40</v>
      </c>
      <c r="G108" s="25">
        <f>F108*1.7/20</f>
        <v>3.4</v>
      </c>
      <c r="H108" s="25">
        <f>F108*0.2/20</f>
        <v>0.4</v>
      </c>
      <c r="I108" s="25">
        <f>F108*10.7/20</f>
        <v>21.4</v>
      </c>
      <c r="J108" s="25">
        <f>F108*51.4/20</f>
        <v>102.8</v>
      </c>
      <c r="K108" s="78" t="s">
        <v>83</v>
      </c>
      <c r="L108" s="44">
        <v>12.45</v>
      </c>
    </row>
    <row r="109" spans="1:12" ht="15.75">
      <c r="A109" s="17"/>
      <c r="B109" s="18"/>
      <c r="C109" s="19"/>
      <c r="D109" s="23" t="s">
        <v>42</v>
      </c>
      <c r="E109" s="37" t="s">
        <v>28</v>
      </c>
      <c r="F109" s="44">
        <v>50</v>
      </c>
      <c r="G109" s="44">
        <f>SUM(F109*1.68/30)</f>
        <v>2.8</v>
      </c>
      <c r="H109" s="44">
        <f>SUM(F109*0.33/30)</f>
        <v>0.55000000000000004</v>
      </c>
      <c r="I109" s="44">
        <f>SUM(F109*14.82/30)</f>
        <v>24.7</v>
      </c>
      <c r="J109" s="44">
        <f>SUM(F109*68.97/30)</f>
        <v>114.95</v>
      </c>
      <c r="K109" s="65" t="s">
        <v>44</v>
      </c>
      <c r="L109" s="44">
        <v>5.92</v>
      </c>
    </row>
    <row r="110" spans="1:12" ht="15.75">
      <c r="A110" s="17"/>
      <c r="B110" s="18"/>
      <c r="C110" s="19"/>
      <c r="D110" s="20"/>
      <c r="E110" s="50"/>
      <c r="F110" s="44"/>
      <c r="G110" s="44"/>
      <c r="H110" s="44"/>
      <c r="I110" s="44"/>
      <c r="J110" s="44"/>
      <c r="K110" s="68"/>
      <c r="L110" s="44"/>
    </row>
    <row r="111" spans="1:12" ht="15.75">
      <c r="A111" s="17"/>
      <c r="B111" s="18"/>
      <c r="C111" s="19"/>
      <c r="D111" s="20"/>
      <c r="E111" s="21"/>
      <c r="F111" s="45"/>
      <c r="G111" s="45"/>
      <c r="H111" s="45"/>
      <c r="I111" s="45"/>
      <c r="J111" s="45"/>
      <c r="K111" s="58"/>
      <c r="L111" s="45"/>
    </row>
    <row r="112" spans="1:12" ht="15.75">
      <c r="A112" s="27"/>
      <c r="B112" s="28"/>
      <c r="C112" s="29"/>
      <c r="D112" s="30" t="s">
        <v>32</v>
      </c>
      <c r="E112" s="31"/>
      <c r="F112" s="33">
        <f>F103+F104+F105+F106+F107+F108+F109</f>
        <v>855</v>
      </c>
      <c r="G112" s="33">
        <f t="shared" ref="G112:J112" si="24">G103+G104+G105+G106+G107+G108+G109</f>
        <v>32.224999999999994</v>
      </c>
      <c r="H112" s="33">
        <f t="shared" si="24"/>
        <v>27.75</v>
      </c>
      <c r="I112" s="33">
        <f t="shared" si="24"/>
        <v>137.60249999999999</v>
      </c>
      <c r="J112" s="33">
        <f t="shared" si="24"/>
        <v>928.4</v>
      </c>
      <c r="K112" s="60"/>
      <c r="L112" s="33">
        <f t="shared" ref="L112" si="25">SUM(L103:L111)</f>
        <v>145.04999999999998</v>
      </c>
    </row>
    <row r="113" spans="1:12" ht="15.75">
      <c r="A113" s="38">
        <f>A96</f>
        <v>2</v>
      </c>
      <c r="B113" s="39">
        <f>B96</f>
        <v>1</v>
      </c>
      <c r="C113" s="206" t="s">
        <v>43</v>
      </c>
      <c r="D113" s="207"/>
      <c r="E113" s="40"/>
      <c r="F113" s="48">
        <f>F102+F112</f>
        <v>1520</v>
      </c>
      <c r="G113" s="48">
        <f t="shared" ref="G113" si="26">G102+G112</f>
        <v>50.524999999999991</v>
      </c>
      <c r="H113" s="48">
        <f t="shared" ref="H113" si="27">H102+H112</f>
        <v>46.32</v>
      </c>
      <c r="I113" s="48">
        <f t="shared" ref="I113" si="28">I102+I112</f>
        <v>246.255</v>
      </c>
      <c r="J113" s="48">
        <f t="shared" ref="J113:L113" si="29">J102+J112</f>
        <v>1603.3600000000001</v>
      </c>
      <c r="K113" s="41"/>
      <c r="L113" s="48">
        <f t="shared" si="29"/>
        <v>270.08999999999997</v>
      </c>
    </row>
    <row r="114" spans="1:12" ht="31.5">
      <c r="A114" s="42">
        <v>2</v>
      </c>
      <c r="B114" s="18">
        <v>2</v>
      </c>
      <c r="C114" s="14" t="s">
        <v>23</v>
      </c>
      <c r="D114" s="15" t="s">
        <v>24</v>
      </c>
      <c r="E114" s="76" t="s">
        <v>89</v>
      </c>
      <c r="F114" s="25">
        <v>220</v>
      </c>
      <c r="G114" s="25">
        <f>F114*30.42/180</f>
        <v>37.18</v>
      </c>
      <c r="H114" s="25">
        <f>F114*17.28/180</f>
        <v>21.12</v>
      </c>
      <c r="I114" s="25">
        <f>F114*23.76/180</f>
        <v>29.040000000000003</v>
      </c>
      <c r="J114" s="25">
        <f>F114*372.6/180</f>
        <v>455.4</v>
      </c>
      <c r="K114" s="56">
        <v>4443</v>
      </c>
      <c r="L114" s="57">
        <v>87.58</v>
      </c>
    </row>
    <row r="115" spans="1:12" ht="15.75">
      <c r="A115" s="42"/>
      <c r="B115" s="18"/>
      <c r="C115" s="19"/>
      <c r="D115" s="23" t="s">
        <v>25</v>
      </c>
      <c r="E115" s="43" t="s">
        <v>66</v>
      </c>
      <c r="F115" s="66">
        <v>200</v>
      </c>
      <c r="G115" s="25">
        <v>0.2</v>
      </c>
      <c r="H115" s="25">
        <v>0</v>
      </c>
      <c r="I115" s="25">
        <v>13.7</v>
      </c>
      <c r="J115" s="25">
        <v>56</v>
      </c>
      <c r="K115" s="58" t="s">
        <v>67</v>
      </c>
      <c r="L115" s="45">
        <v>3.86</v>
      </c>
    </row>
    <row r="116" spans="1:12" ht="15.75">
      <c r="A116" s="42"/>
      <c r="B116" s="18"/>
      <c r="C116" s="19"/>
      <c r="D116" s="23" t="s">
        <v>34</v>
      </c>
      <c r="E116" s="24" t="s">
        <v>68</v>
      </c>
      <c r="F116" s="25">
        <v>70</v>
      </c>
      <c r="G116" s="25">
        <f>F116*3.2/50</f>
        <v>4.4800000000000004</v>
      </c>
      <c r="H116" s="25">
        <f>F116*7.7/50</f>
        <v>10.78</v>
      </c>
      <c r="I116" s="25">
        <f>F116*19.5/50</f>
        <v>27.3</v>
      </c>
      <c r="J116" s="25">
        <f>F116*160/50</f>
        <v>224</v>
      </c>
      <c r="K116" s="59">
        <v>44209</v>
      </c>
      <c r="L116" s="45">
        <v>27.33</v>
      </c>
    </row>
    <row r="117" spans="1:12" ht="15.75">
      <c r="A117" s="42"/>
      <c r="B117" s="18"/>
      <c r="C117" s="19"/>
      <c r="D117" s="23" t="s">
        <v>42</v>
      </c>
      <c r="E117" s="37" t="s">
        <v>28</v>
      </c>
      <c r="F117" s="44">
        <v>53</v>
      </c>
      <c r="G117" s="44">
        <f>SUM(F117*1.68/30)</f>
        <v>2.9679999999999995</v>
      </c>
      <c r="H117" s="44">
        <f>SUM(F117*0.33/30)</f>
        <v>0.58300000000000007</v>
      </c>
      <c r="I117" s="44">
        <f>SUM(F117*14.82/30)</f>
        <v>26.182000000000002</v>
      </c>
      <c r="J117" s="44">
        <f>SUM(F117*68.97/30)</f>
        <v>121.84699999999999</v>
      </c>
      <c r="K117" s="58" t="s">
        <v>29</v>
      </c>
      <c r="L117" s="45">
        <v>6.27</v>
      </c>
    </row>
    <row r="118" spans="1:12" ht="15.75">
      <c r="A118" s="42"/>
      <c r="B118" s="18"/>
      <c r="C118" s="19"/>
      <c r="D118" s="20"/>
      <c r="E118" s="24"/>
      <c r="F118" s="25"/>
      <c r="G118" s="25"/>
      <c r="H118" s="25"/>
      <c r="I118" s="25"/>
      <c r="J118" s="25"/>
      <c r="K118" s="58"/>
      <c r="L118" s="45"/>
    </row>
    <row r="119" spans="1:12" ht="15.75">
      <c r="A119" s="42"/>
      <c r="B119" s="18"/>
      <c r="C119" s="19"/>
      <c r="D119" s="20"/>
      <c r="E119" s="21"/>
      <c r="F119" s="45"/>
      <c r="G119" s="45"/>
      <c r="H119" s="45"/>
      <c r="I119" s="45"/>
      <c r="J119" s="45"/>
      <c r="K119" s="58"/>
      <c r="L119" s="45"/>
    </row>
    <row r="120" spans="1:12" ht="15.75">
      <c r="A120" s="46"/>
      <c r="B120" s="28"/>
      <c r="C120" s="29"/>
      <c r="D120" s="30" t="s">
        <v>32</v>
      </c>
      <c r="E120" s="31"/>
      <c r="F120" s="33">
        <f>SUM(F114:F119)</f>
        <v>543</v>
      </c>
      <c r="G120" s="33">
        <f>SUM(G114:G119)</f>
        <v>44.827999999999996</v>
      </c>
      <c r="H120" s="33">
        <f>SUM(H114:H119)</f>
        <v>32.482999999999997</v>
      </c>
      <c r="I120" s="33">
        <f>SUM(I114:I119)</f>
        <v>96.222000000000008</v>
      </c>
      <c r="J120" s="33">
        <f>SUM(J114:J119)</f>
        <v>857.24699999999996</v>
      </c>
      <c r="K120" s="60"/>
      <c r="L120" s="33">
        <f>SUM(L114:L119)</f>
        <v>125.03999999999999</v>
      </c>
    </row>
    <row r="121" spans="1:12" ht="15.75">
      <c r="A121" s="35">
        <f>A114</f>
        <v>2</v>
      </c>
      <c r="B121" s="35">
        <f>B114</f>
        <v>2</v>
      </c>
      <c r="C121" s="36" t="s">
        <v>33</v>
      </c>
      <c r="D121" s="23" t="s">
        <v>34</v>
      </c>
      <c r="E121" s="50" t="s">
        <v>70</v>
      </c>
      <c r="F121" s="44">
        <v>60</v>
      </c>
      <c r="G121" s="25">
        <f>F121*1.3/100</f>
        <v>0.78</v>
      </c>
      <c r="H121" s="25">
        <f>F121*8.9/100</f>
        <v>5.34</v>
      </c>
      <c r="I121" s="25">
        <f>F121*6.7/100</f>
        <v>4.0199999999999996</v>
      </c>
      <c r="J121" s="25">
        <f>F121*112/100</f>
        <v>67.2</v>
      </c>
      <c r="K121" s="58">
        <v>72</v>
      </c>
      <c r="L121" s="45">
        <v>10.77</v>
      </c>
    </row>
    <row r="122" spans="1:12" ht="31.5">
      <c r="A122" s="42"/>
      <c r="B122" s="18"/>
      <c r="C122" s="19"/>
      <c r="D122" s="23" t="s">
        <v>35</v>
      </c>
      <c r="E122" s="146" t="s">
        <v>110</v>
      </c>
      <c r="F122" s="25">
        <v>200</v>
      </c>
      <c r="G122" s="44">
        <f>F122*2.5/250+0.2+1.7</f>
        <v>3.9000000000000004</v>
      </c>
      <c r="H122" s="44">
        <f>F122*5.4/250+1.7</f>
        <v>6.0200000000000005</v>
      </c>
      <c r="I122" s="44">
        <f>F122*16.6/250+1</f>
        <v>14.280000000000001</v>
      </c>
      <c r="J122" s="44">
        <f>F122*126.9/200</f>
        <v>126.9</v>
      </c>
      <c r="K122" s="58">
        <v>44502</v>
      </c>
      <c r="L122" s="45">
        <v>26.85</v>
      </c>
    </row>
    <row r="123" spans="1:12" ht="15.75">
      <c r="A123" s="42"/>
      <c r="B123" s="18"/>
      <c r="C123" s="19"/>
      <c r="D123" s="23" t="s">
        <v>36</v>
      </c>
      <c r="E123" s="143" t="s">
        <v>152</v>
      </c>
      <c r="F123" s="16">
        <v>90</v>
      </c>
      <c r="G123" s="25">
        <f>F123*11.68/90</f>
        <v>11.68</v>
      </c>
      <c r="H123" s="25">
        <f>F123*11.61/90</f>
        <v>11.609999999999998</v>
      </c>
      <c r="I123" s="25">
        <f>F123*5.76/90</f>
        <v>5.76</v>
      </c>
      <c r="J123" s="25">
        <f>F123*175/90</f>
        <v>175</v>
      </c>
      <c r="K123" s="78" t="s">
        <v>153</v>
      </c>
      <c r="L123" s="45">
        <v>77.08</v>
      </c>
    </row>
    <row r="124" spans="1:12" ht="15.75">
      <c r="A124" s="42"/>
      <c r="B124" s="18"/>
      <c r="C124" s="19"/>
      <c r="D124" s="23" t="s">
        <v>37</v>
      </c>
      <c r="E124" s="142" t="s">
        <v>38</v>
      </c>
      <c r="F124" s="16">
        <v>150</v>
      </c>
      <c r="G124" s="25">
        <f>F124*5.3/150</f>
        <v>5.3</v>
      </c>
      <c r="H124" s="25">
        <f>F124*3/150</f>
        <v>3</v>
      </c>
      <c r="I124" s="25">
        <f>F124*32.4/150</f>
        <v>32.4</v>
      </c>
      <c r="J124" s="25">
        <f>F124*178/150</f>
        <v>178</v>
      </c>
      <c r="K124" s="78" t="s">
        <v>72</v>
      </c>
      <c r="L124" s="45">
        <v>9.15</v>
      </c>
    </row>
    <row r="125" spans="1:12" ht="15.75">
      <c r="A125" s="42"/>
      <c r="B125" s="18"/>
      <c r="C125" s="19"/>
      <c r="D125" s="23" t="s">
        <v>127</v>
      </c>
      <c r="E125" s="144" t="s">
        <v>111</v>
      </c>
      <c r="F125" s="145">
        <v>200</v>
      </c>
      <c r="G125" s="145">
        <v>0.4</v>
      </c>
      <c r="H125" s="145">
        <v>0.4</v>
      </c>
      <c r="I125" s="145">
        <v>18.7</v>
      </c>
      <c r="J125" s="145">
        <v>80</v>
      </c>
      <c r="K125" s="78" t="s">
        <v>112</v>
      </c>
      <c r="L125" s="45">
        <v>13.47</v>
      </c>
    </row>
    <row r="126" spans="1:12" ht="15.75">
      <c r="A126" s="42"/>
      <c r="B126" s="18"/>
      <c r="C126" s="19"/>
      <c r="D126" s="82" t="s">
        <v>40</v>
      </c>
      <c r="E126" s="26" t="s">
        <v>41</v>
      </c>
      <c r="F126" s="25">
        <v>30</v>
      </c>
      <c r="G126" s="25">
        <f>SUM(F126*2.37/30)</f>
        <v>2.37</v>
      </c>
      <c r="H126" s="25">
        <f>SUM(F126*0.3/30)</f>
        <v>0.3</v>
      </c>
      <c r="I126" s="25">
        <f>SUM(F126*14.49/30)</f>
        <v>14.49</v>
      </c>
      <c r="J126" s="25">
        <f>SUM(F126*70.14/30)</f>
        <v>70.14</v>
      </c>
      <c r="K126" s="78" t="s">
        <v>29</v>
      </c>
      <c r="L126" s="45">
        <v>3.84</v>
      </c>
    </row>
    <row r="127" spans="1:12" ht="15.75">
      <c r="A127" s="42"/>
      <c r="B127" s="18"/>
      <c r="C127" s="19"/>
      <c r="D127" s="23" t="s">
        <v>42</v>
      </c>
      <c r="E127" s="142" t="s">
        <v>28</v>
      </c>
      <c r="F127" s="25">
        <v>33</v>
      </c>
      <c r="G127" s="25">
        <f>SUM(F127*1.68/30)</f>
        <v>1.8479999999999999</v>
      </c>
      <c r="H127" s="25">
        <f>SUM(F127*0.33/30)</f>
        <v>0.36300000000000004</v>
      </c>
      <c r="I127" s="25">
        <f>SUM(F127*14.82/30)</f>
        <v>16.302</v>
      </c>
      <c r="J127" s="25">
        <f>SUM(F127*68.97/30)</f>
        <v>75.86699999999999</v>
      </c>
      <c r="K127" s="78" t="s">
        <v>29</v>
      </c>
      <c r="L127" s="45">
        <v>3.89</v>
      </c>
    </row>
    <row r="128" spans="1:12" ht="15.75">
      <c r="A128" s="42"/>
      <c r="B128" s="18"/>
      <c r="C128" s="19"/>
      <c r="D128" s="20"/>
      <c r="E128" s="21"/>
      <c r="F128" s="45"/>
      <c r="G128" s="45"/>
      <c r="H128" s="45"/>
      <c r="I128" s="45"/>
      <c r="J128" s="45"/>
      <c r="K128" s="58"/>
      <c r="L128" s="45"/>
    </row>
    <row r="129" spans="1:12" ht="15.75">
      <c r="A129" s="42"/>
      <c r="B129" s="18"/>
      <c r="C129" s="19"/>
      <c r="D129" s="20"/>
      <c r="E129" s="21"/>
      <c r="F129" s="45"/>
      <c r="G129" s="45"/>
      <c r="H129" s="45"/>
      <c r="I129" s="45"/>
      <c r="J129" s="45"/>
      <c r="K129" s="58"/>
      <c r="L129" s="45"/>
    </row>
    <row r="130" spans="1:12" ht="15.75">
      <c r="A130" s="46"/>
      <c r="B130" s="28"/>
      <c r="C130" s="29"/>
      <c r="D130" s="30" t="s">
        <v>32</v>
      </c>
      <c r="E130" s="31"/>
      <c r="F130" s="33">
        <f>SUM(F121:F129)</f>
        <v>763</v>
      </c>
      <c r="G130" s="33">
        <f t="shared" ref="G130:J130" si="30">SUM(G121:G129)</f>
        <v>26.277999999999999</v>
      </c>
      <c r="H130" s="33">
        <f t="shared" si="30"/>
        <v>27.032999999999998</v>
      </c>
      <c r="I130" s="33">
        <f t="shared" si="30"/>
        <v>105.952</v>
      </c>
      <c r="J130" s="33">
        <f t="shared" si="30"/>
        <v>773.10699999999997</v>
      </c>
      <c r="K130" s="70"/>
      <c r="L130" s="33">
        <f t="shared" ref="L130" si="31">SUM(L121:L129)</f>
        <v>145.05000000000001</v>
      </c>
    </row>
    <row r="131" spans="1:12" ht="16.5" thickBot="1">
      <c r="A131" s="47">
        <f>A114</f>
        <v>2</v>
      </c>
      <c r="B131" s="47">
        <f>B114</f>
        <v>2</v>
      </c>
      <c r="C131" s="206" t="s">
        <v>43</v>
      </c>
      <c r="D131" s="207"/>
      <c r="E131" s="40"/>
      <c r="F131" s="48">
        <f>F120+F130</f>
        <v>1306</v>
      </c>
      <c r="G131" s="48">
        <f t="shared" ref="G131" si="32">G120+G130</f>
        <v>71.105999999999995</v>
      </c>
      <c r="H131" s="48">
        <f t="shared" ref="H131" si="33">H120+H130</f>
        <v>59.515999999999991</v>
      </c>
      <c r="I131" s="48">
        <f t="shared" ref="I131" si="34">I120+I130</f>
        <v>202.17400000000001</v>
      </c>
      <c r="J131" s="48">
        <f t="shared" ref="J131:L131" si="35">J120+J130</f>
        <v>1630.3539999999998</v>
      </c>
      <c r="K131" s="41"/>
      <c r="L131" s="48">
        <f t="shared" si="35"/>
        <v>270.09000000000003</v>
      </c>
    </row>
    <row r="132" spans="1:12" ht="15.75">
      <c r="A132" s="12">
        <v>2</v>
      </c>
      <c r="B132" s="13">
        <v>3</v>
      </c>
      <c r="C132" s="14" t="s">
        <v>23</v>
      </c>
      <c r="D132" s="15" t="s">
        <v>36</v>
      </c>
      <c r="E132" s="79" t="s">
        <v>154</v>
      </c>
      <c r="F132" s="25">
        <v>180</v>
      </c>
      <c r="G132" s="25">
        <f>F132*20/120</f>
        <v>30</v>
      </c>
      <c r="H132" s="25">
        <f>F132*14.52/120</f>
        <v>21.779999999999998</v>
      </c>
      <c r="I132" s="25">
        <f>F132*13.44/120</f>
        <v>20.16</v>
      </c>
      <c r="J132" s="25">
        <f>F132*240/120</f>
        <v>360</v>
      </c>
      <c r="K132" s="78" t="s">
        <v>155</v>
      </c>
      <c r="L132" s="57">
        <v>77.069999999999993</v>
      </c>
    </row>
    <row r="133" spans="1:12" ht="15.75">
      <c r="A133" s="17"/>
      <c r="B133" s="18"/>
      <c r="C133" s="19"/>
      <c r="D133" s="23" t="s">
        <v>25</v>
      </c>
      <c r="E133" s="149" t="s">
        <v>61</v>
      </c>
      <c r="F133" s="148">
        <v>200</v>
      </c>
      <c r="G133" s="148">
        <v>0.2</v>
      </c>
      <c r="H133" s="148">
        <v>0.1</v>
      </c>
      <c r="I133" s="148">
        <v>13.1</v>
      </c>
      <c r="J133" s="148">
        <v>54.1</v>
      </c>
      <c r="K133" s="139" t="s">
        <v>62</v>
      </c>
      <c r="L133" s="45">
        <v>16.100000000000001</v>
      </c>
    </row>
    <row r="134" spans="1:12" ht="15.75" customHeight="1">
      <c r="A134" s="17"/>
      <c r="B134" s="18"/>
      <c r="C134" s="19"/>
      <c r="D134" s="23" t="s">
        <v>40</v>
      </c>
      <c r="E134" s="26" t="s">
        <v>41</v>
      </c>
      <c r="F134" s="25">
        <v>50</v>
      </c>
      <c r="G134" s="25">
        <f>SUM(F134*2.37/30)</f>
        <v>3.95</v>
      </c>
      <c r="H134" s="25">
        <f>SUM(F134*0.3/30)</f>
        <v>0.5</v>
      </c>
      <c r="I134" s="25">
        <f>SUM(F134*14.49/30)</f>
        <v>24.15</v>
      </c>
      <c r="J134" s="25">
        <f>SUM(F134*70.14/30)</f>
        <v>116.9</v>
      </c>
      <c r="K134" s="65" t="s">
        <v>29</v>
      </c>
      <c r="L134" s="45">
        <v>6.4</v>
      </c>
    </row>
    <row r="135" spans="1:12" ht="15.75">
      <c r="A135" s="17"/>
      <c r="B135" s="18"/>
      <c r="C135" s="19"/>
      <c r="D135" s="23" t="s">
        <v>42</v>
      </c>
      <c r="E135" s="147" t="s">
        <v>28</v>
      </c>
      <c r="F135" s="25">
        <v>40</v>
      </c>
      <c r="G135" s="25">
        <f>SUM(F135*1.68/30)</f>
        <v>2.2400000000000002</v>
      </c>
      <c r="H135" s="25">
        <f>SUM(F135*0.33/30)</f>
        <v>0.44000000000000006</v>
      </c>
      <c r="I135" s="25">
        <f>SUM(F135*14.82/30)</f>
        <v>19.759999999999998</v>
      </c>
      <c r="J135" s="25">
        <f>SUM(F135*68.97/30)</f>
        <v>91.960000000000008</v>
      </c>
      <c r="K135" s="65" t="s">
        <v>44</v>
      </c>
      <c r="L135" s="45">
        <v>4.74</v>
      </c>
    </row>
    <row r="136" spans="1:12" ht="31.5">
      <c r="A136" s="17"/>
      <c r="B136" s="18"/>
      <c r="C136" s="19"/>
      <c r="D136" s="20" t="s">
        <v>34</v>
      </c>
      <c r="E136" s="175" t="s">
        <v>156</v>
      </c>
      <c r="F136" s="44">
        <v>60</v>
      </c>
      <c r="G136" s="44">
        <v>1.95</v>
      </c>
      <c r="H136" s="44">
        <v>2.67</v>
      </c>
      <c r="I136" s="44">
        <v>4.16</v>
      </c>
      <c r="J136" s="44">
        <v>48.75</v>
      </c>
      <c r="K136" s="77">
        <v>445</v>
      </c>
      <c r="L136" s="45">
        <v>20.73</v>
      </c>
    </row>
    <row r="137" spans="1:12" ht="15.75">
      <c r="A137" s="17"/>
      <c r="B137" s="18"/>
      <c r="C137" s="19"/>
      <c r="D137" s="20"/>
      <c r="E137" s="21"/>
      <c r="F137" s="45"/>
      <c r="G137" s="45"/>
      <c r="H137" s="45"/>
      <c r="I137" s="45"/>
      <c r="J137" s="45"/>
      <c r="K137" s="58"/>
      <c r="L137" s="45"/>
    </row>
    <row r="138" spans="1:12" ht="15.75">
      <c r="A138" s="27"/>
      <c r="B138" s="28"/>
      <c r="C138" s="29"/>
      <c r="D138" s="30" t="s">
        <v>32</v>
      </c>
      <c r="E138" s="31"/>
      <c r="F138" s="33">
        <f>SUM(F132:F137)</f>
        <v>530</v>
      </c>
      <c r="G138" s="33">
        <f>SUM(G132:G137)</f>
        <v>38.340000000000003</v>
      </c>
      <c r="H138" s="33">
        <f>SUM(H132:H137)</f>
        <v>25.490000000000002</v>
      </c>
      <c r="I138" s="33">
        <f>SUM(I132:I137)</f>
        <v>81.329999999999984</v>
      </c>
      <c r="J138" s="33">
        <f>SUM(J132:J137)</f>
        <v>671.71</v>
      </c>
      <c r="K138" s="70"/>
      <c r="L138" s="33">
        <f>SUM(L132:L137)</f>
        <v>125.03999999999999</v>
      </c>
    </row>
    <row r="139" spans="1:12" ht="15.75">
      <c r="A139" s="34">
        <f>A132</f>
        <v>2</v>
      </c>
      <c r="B139" s="35">
        <f>B132</f>
        <v>3</v>
      </c>
      <c r="C139" s="36" t="s">
        <v>33</v>
      </c>
      <c r="D139" s="23" t="s">
        <v>34</v>
      </c>
      <c r="E139" s="152" t="s">
        <v>113</v>
      </c>
      <c r="F139" s="156">
        <v>60</v>
      </c>
      <c r="G139" s="156">
        <f>F139*3.06/60</f>
        <v>3.06</v>
      </c>
      <c r="H139" s="156">
        <f>F139*9.36/60</f>
        <v>9.3599999999999977</v>
      </c>
      <c r="I139" s="156">
        <f>F139*8.07/60</f>
        <v>8.07</v>
      </c>
      <c r="J139" s="156">
        <f>F139*128.76/60</f>
        <v>128.76</v>
      </c>
      <c r="K139" s="75" t="s">
        <v>114</v>
      </c>
      <c r="L139" s="45">
        <v>8.27</v>
      </c>
    </row>
    <row r="140" spans="1:12" ht="36" customHeight="1">
      <c r="A140" s="17"/>
      <c r="B140" s="18"/>
      <c r="C140" s="19"/>
      <c r="D140" s="23" t="s">
        <v>35</v>
      </c>
      <c r="E140" s="157" t="s">
        <v>157</v>
      </c>
      <c r="F140" s="156">
        <v>250</v>
      </c>
      <c r="G140" s="156">
        <f>F140*3.42/200</f>
        <v>4.2750000000000004</v>
      </c>
      <c r="H140" s="156">
        <f>F140*4.98/200</f>
        <v>6.2249999999999996</v>
      </c>
      <c r="I140" s="156">
        <f>F140*7/200</f>
        <v>8.75</v>
      </c>
      <c r="J140" s="156">
        <f>F140*81.44/200</f>
        <v>101.8</v>
      </c>
      <c r="K140" s="62">
        <v>44379</v>
      </c>
      <c r="L140" s="45">
        <v>19.46</v>
      </c>
    </row>
    <row r="141" spans="1:12" ht="15.75">
      <c r="A141" s="17"/>
      <c r="B141" s="18"/>
      <c r="C141" s="19"/>
      <c r="D141" s="23" t="s">
        <v>36</v>
      </c>
      <c r="E141" s="155" t="s">
        <v>71</v>
      </c>
      <c r="F141" s="151">
        <v>100</v>
      </c>
      <c r="G141" s="156">
        <v>10.076923076923077</v>
      </c>
      <c r="H141" s="156">
        <v>7.0769230769230758</v>
      </c>
      <c r="I141" s="156">
        <v>9.0769230769230766</v>
      </c>
      <c r="J141" s="156">
        <v>140.76923076923077</v>
      </c>
      <c r="K141" s="83" t="s">
        <v>115</v>
      </c>
      <c r="L141" s="45">
        <v>84.09</v>
      </c>
    </row>
    <row r="142" spans="1:12" ht="15.75">
      <c r="A142" s="17"/>
      <c r="B142" s="18"/>
      <c r="C142" s="19"/>
      <c r="D142" s="23" t="s">
        <v>37</v>
      </c>
      <c r="E142" s="154" t="s">
        <v>57</v>
      </c>
      <c r="F142" s="25">
        <v>150</v>
      </c>
      <c r="G142" s="25">
        <f>F142*3.17/150</f>
        <v>3.17</v>
      </c>
      <c r="H142" s="25">
        <f>F142*3.67/150</f>
        <v>3.67</v>
      </c>
      <c r="I142" s="25">
        <f>F142*20.4/150</f>
        <v>20.399999999999999</v>
      </c>
      <c r="J142" s="44">
        <f>F142*127.5/150</f>
        <v>127.5</v>
      </c>
      <c r="K142" s="75" t="s">
        <v>116</v>
      </c>
      <c r="L142" s="45">
        <v>18.170000000000002</v>
      </c>
    </row>
    <row r="143" spans="1:12" ht="15.75">
      <c r="A143" s="17"/>
      <c r="B143" s="18"/>
      <c r="C143" s="19"/>
      <c r="D143" s="23" t="s">
        <v>127</v>
      </c>
      <c r="E143" s="154" t="s">
        <v>52</v>
      </c>
      <c r="F143" s="151">
        <v>200</v>
      </c>
      <c r="G143" s="151">
        <v>0</v>
      </c>
      <c r="H143" s="151">
        <v>0</v>
      </c>
      <c r="I143" s="151">
        <v>27.8</v>
      </c>
      <c r="J143" s="151">
        <v>111</v>
      </c>
      <c r="K143" s="75" t="s">
        <v>117</v>
      </c>
      <c r="L143" s="45">
        <v>5.66</v>
      </c>
    </row>
    <row r="144" spans="1:12" ht="15.75">
      <c r="A144" s="17"/>
      <c r="B144" s="18"/>
      <c r="C144" s="19"/>
      <c r="D144" s="23" t="s">
        <v>40</v>
      </c>
      <c r="E144" s="26" t="s">
        <v>41</v>
      </c>
      <c r="F144" s="25">
        <v>30</v>
      </c>
      <c r="G144" s="25">
        <f>SUM(F144*2.37/30)</f>
        <v>2.37</v>
      </c>
      <c r="H144" s="25">
        <f>SUM(F144*0.3/30)</f>
        <v>0.3</v>
      </c>
      <c r="I144" s="25">
        <f>SUM(F144*14.49/30)</f>
        <v>14.49</v>
      </c>
      <c r="J144" s="25">
        <f>SUM(F144*70.14/30)</f>
        <v>70.14</v>
      </c>
      <c r="K144" s="65" t="s">
        <v>29</v>
      </c>
      <c r="L144" s="45">
        <v>3.84</v>
      </c>
    </row>
    <row r="145" spans="1:12" ht="15.75">
      <c r="A145" s="17"/>
      <c r="B145" s="18"/>
      <c r="C145" s="19"/>
      <c r="D145" s="23" t="s">
        <v>42</v>
      </c>
      <c r="E145" s="150" t="s">
        <v>28</v>
      </c>
      <c r="F145" s="25">
        <v>47</v>
      </c>
      <c r="G145" s="25">
        <f>SUM(F145*1.68/30)</f>
        <v>2.6319999999999997</v>
      </c>
      <c r="H145" s="25">
        <f>SUM(F145*0.33/30)</f>
        <v>0.51700000000000002</v>
      </c>
      <c r="I145" s="25">
        <f>SUM(F145*14.82/30)</f>
        <v>23.218</v>
      </c>
      <c r="J145" s="25">
        <f>SUM(F145*68.97/30)</f>
        <v>108.05300000000001</v>
      </c>
      <c r="K145" s="65" t="s">
        <v>44</v>
      </c>
      <c r="L145" s="45">
        <v>5.56</v>
      </c>
    </row>
    <row r="146" spans="1:12" ht="15.75">
      <c r="A146" s="17"/>
      <c r="B146" s="18"/>
      <c r="C146" s="19"/>
      <c r="D146" s="20"/>
      <c r="E146" s="21"/>
      <c r="F146" s="45"/>
      <c r="G146" s="45"/>
      <c r="H146" s="45"/>
      <c r="I146" s="45"/>
      <c r="J146" s="45"/>
      <c r="K146" s="58"/>
      <c r="L146" s="45"/>
    </row>
    <row r="147" spans="1:12" ht="15.75">
      <c r="A147" s="17"/>
      <c r="B147" s="18"/>
      <c r="C147" s="19"/>
      <c r="D147" s="20"/>
      <c r="E147" s="21"/>
      <c r="F147" s="45"/>
      <c r="G147" s="45"/>
      <c r="H147" s="45"/>
      <c r="I147" s="45"/>
      <c r="J147" s="45"/>
      <c r="K147" s="58"/>
      <c r="L147" s="45"/>
    </row>
    <row r="148" spans="1:12" ht="15.75">
      <c r="A148" s="27"/>
      <c r="B148" s="28"/>
      <c r="C148" s="29"/>
      <c r="D148" s="30" t="s">
        <v>32</v>
      </c>
      <c r="E148" s="31"/>
      <c r="F148" s="33">
        <f>SUM(F139:F147)</f>
        <v>837</v>
      </c>
      <c r="G148" s="33">
        <f t="shared" ref="G148:J148" si="36">SUM(G139:G147)</f>
        <v>25.583923076923078</v>
      </c>
      <c r="H148" s="33">
        <f t="shared" si="36"/>
        <v>27.148923076923076</v>
      </c>
      <c r="I148" s="33">
        <f t="shared" si="36"/>
        <v>111.80492307692307</v>
      </c>
      <c r="J148" s="33">
        <f t="shared" si="36"/>
        <v>788.02223076923076</v>
      </c>
      <c r="K148" s="60"/>
      <c r="L148" s="33">
        <f t="shared" ref="L148" si="37">SUM(L139:L147)</f>
        <v>145.05000000000001</v>
      </c>
    </row>
    <row r="149" spans="1:12" ht="16.5" thickBot="1">
      <c r="A149" s="38">
        <f>A132</f>
        <v>2</v>
      </c>
      <c r="B149" s="39">
        <f>B132</f>
        <v>3</v>
      </c>
      <c r="C149" s="206" t="s">
        <v>43</v>
      </c>
      <c r="D149" s="207"/>
      <c r="E149" s="40"/>
      <c r="F149" s="48">
        <f>F138+F148</f>
        <v>1367</v>
      </c>
      <c r="G149" s="48">
        <f t="shared" ref="G149" si="38">G138+G148</f>
        <v>63.923923076923082</v>
      </c>
      <c r="H149" s="48">
        <f t="shared" ref="H149" si="39">H138+H148</f>
        <v>52.638923076923078</v>
      </c>
      <c r="I149" s="48">
        <f t="shared" ref="I149" si="40">I138+I148</f>
        <v>193.13492307692306</v>
      </c>
      <c r="J149" s="48">
        <f t="shared" ref="J149" si="41">J138+J148</f>
        <v>1459.7322307692307</v>
      </c>
      <c r="K149" s="41"/>
      <c r="L149" s="48">
        <f>L138+L148</f>
        <v>270.09000000000003</v>
      </c>
    </row>
    <row r="150" spans="1:12" ht="16.5" thickBot="1">
      <c r="A150" s="17">
        <v>2</v>
      </c>
      <c r="B150" s="18">
        <v>4</v>
      </c>
      <c r="C150" s="14" t="s">
        <v>23</v>
      </c>
      <c r="D150" s="20"/>
      <c r="E150" s="51"/>
      <c r="F150" s="52"/>
      <c r="G150" s="44"/>
      <c r="H150" s="44"/>
      <c r="I150" s="44"/>
      <c r="J150" s="44"/>
      <c r="K150" s="71"/>
      <c r="L150" s="45"/>
    </row>
    <row r="151" spans="1:12" ht="15.75">
      <c r="A151" s="17"/>
      <c r="B151" s="18"/>
      <c r="C151" s="19"/>
      <c r="D151" s="82" t="s">
        <v>36</v>
      </c>
      <c r="E151" s="153" t="s">
        <v>87</v>
      </c>
      <c r="F151" s="25">
        <v>90</v>
      </c>
      <c r="G151" s="25">
        <f>F151*11.6/90</f>
        <v>11.6</v>
      </c>
      <c r="H151" s="25">
        <f>F151*12.1/90</f>
        <v>12.1</v>
      </c>
      <c r="I151" s="25">
        <f>F151*13.1/90</f>
        <v>13.1</v>
      </c>
      <c r="J151" s="25">
        <f>F151*207.7/90</f>
        <v>207.7</v>
      </c>
      <c r="K151" s="132">
        <v>44533</v>
      </c>
      <c r="L151" s="45">
        <v>89.27</v>
      </c>
    </row>
    <row r="152" spans="1:12" ht="15.75">
      <c r="A152" s="17"/>
      <c r="B152" s="18"/>
      <c r="C152" s="19"/>
      <c r="D152" s="82" t="s">
        <v>37</v>
      </c>
      <c r="E152" s="154" t="s">
        <v>55</v>
      </c>
      <c r="F152" s="44">
        <v>150</v>
      </c>
      <c r="G152" s="44">
        <f>F152*3.25/150</f>
        <v>3.25</v>
      </c>
      <c r="H152" s="44">
        <f>F152*2.85/150</f>
        <v>2.85</v>
      </c>
      <c r="I152" s="44">
        <f>F152*11.9/150</f>
        <v>11.9</v>
      </c>
      <c r="J152" s="44">
        <f>F152*87/150</f>
        <v>87</v>
      </c>
      <c r="K152" s="78">
        <v>44533</v>
      </c>
      <c r="L152" s="45">
        <v>17.04</v>
      </c>
    </row>
    <row r="153" spans="1:12" ht="15.75">
      <c r="A153" s="17"/>
      <c r="B153" s="18"/>
      <c r="C153" s="19"/>
      <c r="D153" s="82" t="s">
        <v>25</v>
      </c>
      <c r="E153" s="159" t="s">
        <v>118</v>
      </c>
      <c r="F153" s="158">
        <v>200</v>
      </c>
      <c r="G153" s="158">
        <v>0.3</v>
      </c>
      <c r="H153" s="158">
        <v>0.1</v>
      </c>
      <c r="I153" s="158">
        <v>18.899999999999999</v>
      </c>
      <c r="J153" s="158">
        <v>77.7</v>
      </c>
      <c r="K153" s="77">
        <v>44387</v>
      </c>
      <c r="L153" s="45">
        <v>8.7799999999999994</v>
      </c>
    </row>
    <row r="154" spans="1:12" ht="15.75">
      <c r="A154" s="17"/>
      <c r="B154" s="18"/>
      <c r="C154" s="19"/>
      <c r="D154" s="23" t="s">
        <v>40</v>
      </c>
      <c r="E154" s="80" t="s">
        <v>41</v>
      </c>
      <c r="F154" s="25">
        <v>50</v>
      </c>
      <c r="G154" s="25">
        <f>SUM(F154*2.37/30)</f>
        <v>3.95</v>
      </c>
      <c r="H154" s="25">
        <f>SUM(F154*0.3/30)</f>
        <v>0.5</v>
      </c>
      <c r="I154" s="25">
        <f>SUM(F154*14.49/30)</f>
        <v>24.15</v>
      </c>
      <c r="J154" s="25">
        <f>SUM(F154*70.14/30)</f>
        <v>116.9</v>
      </c>
      <c r="K154" s="58" t="s">
        <v>29</v>
      </c>
      <c r="L154" s="45">
        <v>6.4</v>
      </c>
    </row>
    <row r="155" spans="1:12" ht="15.75">
      <c r="A155" s="17"/>
      <c r="B155" s="18"/>
      <c r="C155" s="19"/>
      <c r="D155" s="23" t="s">
        <v>42</v>
      </c>
      <c r="E155" s="37" t="s">
        <v>28</v>
      </c>
      <c r="F155" s="25">
        <v>30</v>
      </c>
      <c r="G155" s="25">
        <f>SUM(F155*1.68/30)</f>
        <v>1.68</v>
      </c>
      <c r="H155" s="25">
        <f>SUM(F155*0.33/30)</f>
        <v>0.33</v>
      </c>
      <c r="I155" s="25">
        <f>SUM(F155*14.82/30)</f>
        <v>14.82</v>
      </c>
      <c r="J155" s="25">
        <f>SUM(F155*68.97/30)</f>
        <v>68.97</v>
      </c>
      <c r="K155" s="58" t="s">
        <v>44</v>
      </c>
      <c r="L155" s="45">
        <v>3.55</v>
      </c>
    </row>
    <row r="156" spans="1:12" ht="15.75">
      <c r="A156" s="17"/>
      <c r="B156" s="18"/>
      <c r="C156" s="19"/>
      <c r="D156" s="23"/>
      <c r="E156" s="37"/>
      <c r="F156" s="25"/>
      <c r="G156" s="25"/>
      <c r="H156" s="25"/>
      <c r="I156" s="25"/>
      <c r="J156" s="25"/>
      <c r="K156" s="58"/>
      <c r="L156" s="45"/>
    </row>
    <row r="157" spans="1:12" ht="15.75">
      <c r="A157" s="27"/>
      <c r="B157" s="28"/>
      <c r="C157" s="29"/>
      <c r="D157" s="30" t="s">
        <v>32</v>
      </c>
      <c r="E157" s="31"/>
      <c r="F157" s="33">
        <f>F151+F152+F153+F154+F155</f>
        <v>520</v>
      </c>
      <c r="G157" s="33">
        <f t="shared" ref="G157:J157" si="42">G151+G152+G153+G154+G155</f>
        <v>20.78</v>
      </c>
      <c r="H157" s="33">
        <f t="shared" si="42"/>
        <v>15.879999999999999</v>
      </c>
      <c r="I157" s="33">
        <f t="shared" si="42"/>
        <v>82.87</v>
      </c>
      <c r="J157" s="33">
        <f t="shared" si="42"/>
        <v>558.27</v>
      </c>
      <c r="K157" s="60"/>
      <c r="L157" s="33">
        <f>L151+L152+L153+L154+L155</f>
        <v>125.04</v>
      </c>
    </row>
    <row r="158" spans="1:12" ht="31.5">
      <c r="A158" s="34">
        <v>2</v>
      </c>
      <c r="B158" s="35">
        <v>4</v>
      </c>
      <c r="C158" s="36" t="s">
        <v>33</v>
      </c>
      <c r="D158" s="23" t="s">
        <v>34</v>
      </c>
      <c r="E158" s="165" t="s">
        <v>119</v>
      </c>
      <c r="F158" s="167">
        <v>60</v>
      </c>
      <c r="G158" s="167">
        <f>F158*0.72/60</f>
        <v>0.72</v>
      </c>
      <c r="H158" s="167">
        <f>F158*3.6/60</f>
        <v>3.6</v>
      </c>
      <c r="I158" s="167">
        <f>F158*9.72/60</f>
        <v>9.7200000000000006</v>
      </c>
      <c r="J158" s="167">
        <f>F158*74.16/60</f>
        <v>74.16</v>
      </c>
      <c r="K158" s="169" t="s">
        <v>122</v>
      </c>
      <c r="L158" s="45">
        <v>21.92</v>
      </c>
    </row>
    <row r="159" spans="1:12" ht="31.5">
      <c r="A159" s="17"/>
      <c r="B159" s="18"/>
      <c r="C159" s="19"/>
      <c r="D159" s="23" t="s">
        <v>35</v>
      </c>
      <c r="E159" s="164" t="s">
        <v>88</v>
      </c>
      <c r="F159" s="168">
        <v>250</v>
      </c>
      <c r="G159" s="168">
        <f>F159*3.6/200</f>
        <v>4.5</v>
      </c>
      <c r="H159" s="168">
        <f>F159*4.1/200</f>
        <v>5.125</v>
      </c>
      <c r="I159" s="168">
        <f>F159*24.7/200</f>
        <v>30.875</v>
      </c>
      <c r="J159" s="168">
        <f>F159*151/200</f>
        <v>188.75</v>
      </c>
      <c r="K159" s="170" t="s">
        <v>65</v>
      </c>
      <c r="L159" s="45">
        <v>23.95</v>
      </c>
    </row>
    <row r="160" spans="1:12" ht="15.75">
      <c r="A160" s="17"/>
      <c r="B160" s="18"/>
      <c r="C160" s="19"/>
      <c r="D160" s="23" t="s">
        <v>36</v>
      </c>
      <c r="E160" s="163" t="s">
        <v>48</v>
      </c>
      <c r="F160" s="25">
        <v>95</v>
      </c>
      <c r="G160" s="25">
        <f>F160*17.19/90</f>
        <v>18.145000000000003</v>
      </c>
      <c r="H160" s="25">
        <f>F160*14.31/90</f>
        <v>15.105</v>
      </c>
      <c r="I160" s="25">
        <f>F160*0.18/90</f>
        <v>0.18999999999999997</v>
      </c>
      <c r="J160" s="25">
        <f>F160*198/90</f>
        <v>209</v>
      </c>
      <c r="K160" s="113">
        <v>4232</v>
      </c>
      <c r="L160" s="45">
        <v>61.28</v>
      </c>
    </row>
    <row r="161" spans="1:12" ht="15.75">
      <c r="A161" s="17"/>
      <c r="B161" s="18"/>
      <c r="C161" s="19"/>
      <c r="D161" s="23" t="s">
        <v>37</v>
      </c>
      <c r="E161" s="160" t="s">
        <v>120</v>
      </c>
      <c r="F161" s="166">
        <v>150</v>
      </c>
      <c r="G161" s="166">
        <f>F161*3.67/150</f>
        <v>3.67</v>
      </c>
      <c r="H161" s="166">
        <f>F161*5.42/150</f>
        <v>5.42</v>
      </c>
      <c r="I161" s="166">
        <f>F161*36.67/150</f>
        <v>36.67</v>
      </c>
      <c r="J161" s="166">
        <f>F161*210.11/150</f>
        <v>210.11</v>
      </c>
      <c r="K161" s="111" t="s">
        <v>123</v>
      </c>
      <c r="L161" s="45">
        <v>17.059999999999999</v>
      </c>
    </row>
    <row r="162" spans="1:12" ht="15.75">
      <c r="A162" s="17"/>
      <c r="B162" s="18"/>
      <c r="C162" s="19"/>
      <c r="D162" s="23" t="s">
        <v>127</v>
      </c>
      <c r="E162" s="162" t="s">
        <v>121</v>
      </c>
      <c r="F162" s="166">
        <v>200</v>
      </c>
      <c r="G162" s="166">
        <v>0.7</v>
      </c>
      <c r="H162" s="166">
        <v>0</v>
      </c>
      <c r="I162" s="166">
        <v>21.1</v>
      </c>
      <c r="J162" s="166">
        <v>88</v>
      </c>
      <c r="K162" s="111" t="s">
        <v>124</v>
      </c>
      <c r="L162" s="45">
        <v>12.55</v>
      </c>
    </row>
    <row r="163" spans="1:12" ht="15.75">
      <c r="A163" s="17"/>
      <c r="B163" s="18"/>
      <c r="C163" s="19"/>
      <c r="D163" s="23" t="s">
        <v>40</v>
      </c>
      <c r="E163" s="26" t="s">
        <v>41</v>
      </c>
      <c r="F163" s="25">
        <v>37</v>
      </c>
      <c r="G163" s="25">
        <f>SUM(F163*2.37/30)</f>
        <v>2.923</v>
      </c>
      <c r="H163" s="25">
        <f>SUM(F163*0.3/30)</f>
        <v>0.37</v>
      </c>
      <c r="I163" s="25">
        <f>SUM(F163*14.49/30)</f>
        <v>17.870999999999999</v>
      </c>
      <c r="J163" s="25">
        <f>SUM(F163*70.14/30)</f>
        <v>86.506</v>
      </c>
      <c r="K163" s="113" t="s">
        <v>29</v>
      </c>
      <c r="L163" s="45">
        <v>4.74</v>
      </c>
    </row>
    <row r="164" spans="1:12" ht="15.75">
      <c r="A164" s="17"/>
      <c r="B164" s="18"/>
      <c r="C164" s="19"/>
      <c r="D164" s="23" t="s">
        <v>42</v>
      </c>
      <c r="E164" s="161" t="s">
        <v>28</v>
      </c>
      <c r="F164" s="25">
        <v>30</v>
      </c>
      <c r="G164" s="25">
        <f>SUM(F164*1.68/30)</f>
        <v>1.68</v>
      </c>
      <c r="H164" s="25">
        <f>SUM(F164*0.33/30)</f>
        <v>0.33</v>
      </c>
      <c r="I164" s="25">
        <f>SUM(F164*14.82/30)</f>
        <v>14.82</v>
      </c>
      <c r="J164" s="25">
        <f>SUM(F164*68.97/30)</f>
        <v>68.97</v>
      </c>
      <c r="K164" s="113" t="s">
        <v>44</v>
      </c>
      <c r="L164" s="45">
        <v>3.55</v>
      </c>
    </row>
    <row r="165" spans="1:12" ht="15.75">
      <c r="A165" s="17"/>
      <c r="B165" s="18"/>
      <c r="C165" s="19"/>
      <c r="D165" s="20"/>
      <c r="E165" s="21"/>
      <c r="F165" s="45"/>
      <c r="G165" s="45"/>
      <c r="H165" s="45"/>
      <c r="I165" s="45"/>
      <c r="J165" s="45"/>
      <c r="K165" s="58"/>
      <c r="L165" s="45"/>
    </row>
    <row r="166" spans="1:12" ht="15.75">
      <c r="A166" s="17"/>
      <c r="B166" s="18"/>
      <c r="C166" s="19"/>
      <c r="D166" s="20"/>
      <c r="E166" s="21"/>
      <c r="F166" s="45"/>
      <c r="G166" s="45"/>
      <c r="H166" s="45"/>
      <c r="I166" s="45"/>
      <c r="J166" s="45"/>
      <c r="K166" s="58"/>
      <c r="L166" s="45"/>
    </row>
    <row r="167" spans="1:12" ht="15.75">
      <c r="A167" s="27"/>
      <c r="B167" s="28"/>
      <c r="C167" s="29"/>
      <c r="D167" s="30" t="s">
        <v>32</v>
      </c>
      <c r="E167" s="31"/>
      <c r="F167" s="33">
        <f>SUM(F158:F166)</f>
        <v>822</v>
      </c>
      <c r="G167" s="33">
        <f t="shared" ref="G167:J167" si="43">SUM(G158:G166)</f>
        <v>32.338000000000001</v>
      </c>
      <c r="H167" s="33">
        <f t="shared" si="43"/>
        <v>29.95</v>
      </c>
      <c r="I167" s="33">
        <f t="shared" si="43"/>
        <v>131.24600000000001</v>
      </c>
      <c r="J167" s="33">
        <f t="shared" si="43"/>
        <v>925.49599999999998</v>
      </c>
      <c r="K167" s="70"/>
      <c r="L167" s="33">
        <f t="shared" ref="L167" si="44">SUM(L158:L166)</f>
        <v>145.05000000000004</v>
      </c>
    </row>
    <row r="168" spans="1:12" ht="16.5" thickBot="1">
      <c r="A168" s="38">
        <v>2</v>
      </c>
      <c r="B168" s="39">
        <v>4</v>
      </c>
      <c r="C168" s="206" t="s">
        <v>43</v>
      </c>
      <c r="D168" s="207"/>
      <c r="E168" s="40"/>
      <c r="F168" s="48">
        <f>F157+F167</f>
        <v>1342</v>
      </c>
      <c r="G168" s="48">
        <f t="shared" ref="G168" si="45">G157+G167</f>
        <v>53.118000000000002</v>
      </c>
      <c r="H168" s="48">
        <f t="shared" ref="H168" si="46">H157+H167</f>
        <v>45.83</v>
      </c>
      <c r="I168" s="48">
        <f t="shared" ref="I168" si="47">I157+I167</f>
        <v>214.11600000000001</v>
      </c>
      <c r="J168" s="48">
        <f t="shared" ref="J168:L168" si="48">J157+J167</f>
        <v>1483.7660000000001</v>
      </c>
      <c r="K168" s="48"/>
      <c r="L168" s="48">
        <f t="shared" si="48"/>
        <v>270.09000000000003</v>
      </c>
    </row>
    <row r="169" spans="1:12" ht="15.75">
      <c r="A169" s="17">
        <v>2</v>
      </c>
      <c r="B169" s="18">
        <v>5</v>
      </c>
      <c r="C169" s="14" t="s">
        <v>23</v>
      </c>
      <c r="D169" s="15" t="s">
        <v>36</v>
      </c>
      <c r="E169" s="173" t="s">
        <v>152</v>
      </c>
      <c r="F169" s="172">
        <v>90</v>
      </c>
      <c r="G169" s="172">
        <f>F169*13.41/90</f>
        <v>13.41</v>
      </c>
      <c r="H169" s="172">
        <f>F169*14.13/90</f>
        <v>14.13</v>
      </c>
      <c r="I169" s="172">
        <f>F169*4.24/90</f>
        <v>4.24</v>
      </c>
      <c r="J169" s="172">
        <f>F169*198.9/90</f>
        <v>198.9</v>
      </c>
      <c r="K169" s="78" t="s">
        <v>153</v>
      </c>
      <c r="L169" s="67">
        <v>59.35</v>
      </c>
    </row>
    <row r="170" spans="1:12" ht="15.75">
      <c r="A170" s="17"/>
      <c r="B170" s="18"/>
      <c r="C170" s="19"/>
      <c r="D170" s="20" t="s">
        <v>37</v>
      </c>
      <c r="E170" s="37" t="s">
        <v>38</v>
      </c>
      <c r="F170" s="16">
        <v>150</v>
      </c>
      <c r="G170" s="25">
        <f>F170*5.3/150</f>
        <v>5.3</v>
      </c>
      <c r="H170" s="25">
        <f>F170*3/150</f>
        <v>3</v>
      </c>
      <c r="I170" s="25">
        <f>F170*32.4/150</f>
        <v>32.4</v>
      </c>
      <c r="J170" s="25">
        <f>F170*178/150</f>
        <v>178</v>
      </c>
      <c r="K170" s="171" t="s">
        <v>72</v>
      </c>
      <c r="L170" s="67">
        <v>9.15</v>
      </c>
    </row>
    <row r="171" spans="1:12" ht="15.75">
      <c r="A171" s="17"/>
      <c r="B171" s="18"/>
      <c r="C171" s="19"/>
      <c r="D171" s="23" t="s">
        <v>25</v>
      </c>
      <c r="E171" s="50" t="s">
        <v>46</v>
      </c>
      <c r="F171" s="25">
        <v>200</v>
      </c>
      <c r="G171" s="25">
        <v>0</v>
      </c>
      <c r="H171" s="25">
        <v>0</v>
      </c>
      <c r="I171" s="25">
        <v>12</v>
      </c>
      <c r="J171" s="25">
        <v>48</v>
      </c>
      <c r="K171" s="72" t="s">
        <v>47</v>
      </c>
      <c r="L171" s="67">
        <v>12.55</v>
      </c>
    </row>
    <row r="172" spans="1:12" ht="15.75">
      <c r="A172" s="17"/>
      <c r="B172" s="18"/>
      <c r="C172" s="19"/>
      <c r="D172" s="23" t="s">
        <v>34</v>
      </c>
      <c r="E172" s="160" t="s">
        <v>30</v>
      </c>
      <c r="F172" s="16">
        <v>60</v>
      </c>
      <c r="G172" s="16">
        <f>F172*6.1/50</f>
        <v>7.32</v>
      </c>
      <c r="H172" s="16">
        <f>F172*3.7/50</f>
        <v>4.4400000000000004</v>
      </c>
      <c r="I172" s="16">
        <f>F172*17.5/50</f>
        <v>21</v>
      </c>
      <c r="J172" s="16">
        <f>F172*127.7/50</f>
        <v>153.24</v>
      </c>
      <c r="K172" s="75" t="s">
        <v>92</v>
      </c>
      <c r="L172" s="67">
        <v>40.44</v>
      </c>
    </row>
    <row r="173" spans="1:12" ht="15.75">
      <c r="A173" s="17"/>
      <c r="B173" s="18"/>
      <c r="C173" s="19"/>
      <c r="D173" s="23" t="s">
        <v>42</v>
      </c>
      <c r="E173" s="37" t="s">
        <v>28</v>
      </c>
      <c r="F173" s="25">
        <v>30</v>
      </c>
      <c r="G173" s="25">
        <f>SUM(F173*1.68/30)</f>
        <v>1.68</v>
      </c>
      <c r="H173" s="25">
        <f>SUM(F173*0.33/30)</f>
        <v>0.33</v>
      </c>
      <c r="I173" s="25">
        <f>SUM(F173*14.82/30)</f>
        <v>14.82</v>
      </c>
      <c r="J173" s="25">
        <f>SUM(F173*68.97/30)</f>
        <v>68.97</v>
      </c>
      <c r="K173" s="65" t="s">
        <v>44</v>
      </c>
      <c r="L173" s="45">
        <v>3.55</v>
      </c>
    </row>
    <row r="174" spans="1:12" ht="15.75">
      <c r="A174" s="17"/>
      <c r="B174" s="18"/>
      <c r="C174" s="19"/>
      <c r="D174" s="105"/>
      <c r="E174" s="49"/>
      <c r="F174" s="44"/>
      <c r="G174" s="25"/>
      <c r="H174" s="25"/>
      <c r="I174" s="25"/>
      <c r="J174" s="25"/>
      <c r="K174" s="61"/>
      <c r="L174" s="101"/>
    </row>
    <row r="175" spans="1:12" ht="15.75" customHeight="1">
      <c r="A175" s="27"/>
      <c r="B175" s="28"/>
      <c r="C175" s="29"/>
      <c r="D175" s="30" t="s">
        <v>32</v>
      </c>
      <c r="E175" s="31"/>
      <c r="F175" s="33">
        <f>SUM(F169:F174)</f>
        <v>530</v>
      </c>
      <c r="G175" s="33">
        <f>SUM(G169:G174)</f>
        <v>27.71</v>
      </c>
      <c r="H175" s="33">
        <f>SUM(H169:H174)</f>
        <v>21.900000000000002</v>
      </c>
      <c r="I175" s="33">
        <f>SUM(I169:I174)</f>
        <v>84.460000000000008</v>
      </c>
      <c r="J175" s="33">
        <f>SUM(J169:J174)</f>
        <v>647.11</v>
      </c>
      <c r="K175" s="60"/>
      <c r="L175" s="33">
        <f>SUM(L169:L174)</f>
        <v>125.03999999999999</v>
      </c>
    </row>
    <row r="176" spans="1:12" ht="31.5">
      <c r="A176" s="34">
        <v>2</v>
      </c>
      <c r="B176" s="35">
        <v>5</v>
      </c>
      <c r="C176" s="36" t="s">
        <v>33</v>
      </c>
      <c r="D176" s="23" t="s">
        <v>34</v>
      </c>
      <c r="E176" s="174" t="s">
        <v>125</v>
      </c>
      <c r="F176" s="172">
        <v>60</v>
      </c>
      <c r="G176" s="166">
        <f>F176*2.16/60</f>
        <v>2.1600000000000006</v>
      </c>
      <c r="H176" s="166">
        <f>F176*4.48/60</f>
        <v>4.4800000000000004</v>
      </c>
      <c r="I176" s="166">
        <f>F176*9.9/60</f>
        <v>9.9</v>
      </c>
      <c r="J176" s="166">
        <f>F176*88.58/60</f>
        <v>88.58</v>
      </c>
      <c r="K176" s="83" t="s">
        <v>126</v>
      </c>
      <c r="L176" s="45">
        <v>9.66</v>
      </c>
    </row>
    <row r="177" spans="1:12" ht="31.5">
      <c r="A177" s="17"/>
      <c r="B177" s="18"/>
      <c r="C177" s="36"/>
      <c r="D177" s="23" t="s">
        <v>35</v>
      </c>
      <c r="E177" s="49" t="s">
        <v>90</v>
      </c>
      <c r="F177" s="69">
        <v>200</v>
      </c>
      <c r="G177" s="69">
        <f>F177*3.74/200</f>
        <v>3.74</v>
      </c>
      <c r="H177" s="69">
        <f>F177*6.42/200</f>
        <v>6.42</v>
      </c>
      <c r="I177" s="69">
        <f>F177*11.16/200</f>
        <v>11.16</v>
      </c>
      <c r="J177" s="69">
        <f>F177*117.38/200</f>
        <v>117.38</v>
      </c>
      <c r="K177" s="62" t="s">
        <v>73</v>
      </c>
      <c r="L177" s="45">
        <v>23.53</v>
      </c>
    </row>
    <row r="178" spans="1:12" ht="15.75">
      <c r="A178" s="17"/>
      <c r="B178" s="18"/>
      <c r="C178" s="19"/>
      <c r="D178" s="23" t="s">
        <v>36</v>
      </c>
      <c r="E178" s="204" t="s">
        <v>158</v>
      </c>
      <c r="F178" s="16">
        <v>150</v>
      </c>
      <c r="G178" s="25">
        <f>F178*11.68/90</f>
        <v>19.466666666666665</v>
      </c>
      <c r="H178" s="25">
        <f>F178*11.61/90</f>
        <v>19.350000000000001</v>
      </c>
      <c r="I178" s="25">
        <f>F178*15/90</f>
        <v>25</v>
      </c>
      <c r="J178" s="25">
        <f>F178*200/90</f>
        <v>333.33333333333331</v>
      </c>
      <c r="K178" s="84" t="s">
        <v>79</v>
      </c>
      <c r="L178" s="45">
        <v>96.5</v>
      </c>
    </row>
    <row r="179" spans="1:12" ht="15.75">
      <c r="A179" s="17"/>
      <c r="B179" s="18"/>
      <c r="C179" s="19"/>
      <c r="D179" s="23" t="s">
        <v>127</v>
      </c>
      <c r="E179" s="24" t="s">
        <v>49</v>
      </c>
      <c r="F179" s="69">
        <v>200</v>
      </c>
      <c r="G179" s="69">
        <v>1</v>
      </c>
      <c r="H179" s="69">
        <v>0.1</v>
      </c>
      <c r="I179" s="69">
        <v>19.8</v>
      </c>
      <c r="J179" s="69">
        <v>84.1</v>
      </c>
      <c r="K179" s="62" t="s">
        <v>74</v>
      </c>
      <c r="L179" s="45">
        <v>6.69</v>
      </c>
    </row>
    <row r="180" spans="1:12" ht="15.75">
      <c r="A180" s="17"/>
      <c r="B180" s="18"/>
      <c r="C180" s="19"/>
      <c r="D180" s="23" t="s">
        <v>40</v>
      </c>
      <c r="E180" s="26" t="s">
        <v>41</v>
      </c>
      <c r="F180" s="25">
        <v>40</v>
      </c>
      <c r="G180" s="25">
        <f>SUM(F180*2.37/30)</f>
        <v>3.1600000000000006</v>
      </c>
      <c r="H180" s="25">
        <f>SUM(F180*0.3/30)</f>
        <v>0.4</v>
      </c>
      <c r="I180" s="25">
        <f>SUM(F180*14.49/30)</f>
        <v>19.32</v>
      </c>
      <c r="J180" s="25">
        <f>SUM(F180*70.14/30)</f>
        <v>93.52</v>
      </c>
      <c r="K180" s="65" t="s">
        <v>29</v>
      </c>
      <c r="L180" s="45">
        <v>5.12</v>
      </c>
    </row>
    <row r="181" spans="1:12" ht="15.75">
      <c r="A181" s="17"/>
      <c r="B181" s="18"/>
      <c r="C181" s="19"/>
      <c r="D181" s="23" t="s">
        <v>42</v>
      </c>
      <c r="E181" s="37" t="s">
        <v>28</v>
      </c>
      <c r="F181" s="25">
        <v>30</v>
      </c>
      <c r="G181" s="25">
        <f>SUM(F181*1.68/30)</f>
        <v>1.68</v>
      </c>
      <c r="H181" s="25">
        <f>SUM(F181*0.33/30)</f>
        <v>0.33</v>
      </c>
      <c r="I181" s="25">
        <f>SUM(F181*14.82/30)</f>
        <v>14.82</v>
      </c>
      <c r="J181" s="25">
        <f>SUM(F181*68.97/30)</f>
        <v>68.97</v>
      </c>
      <c r="K181" s="65" t="s">
        <v>44</v>
      </c>
      <c r="L181" s="45">
        <v>3.55</v>
      </c>
    </row>
    <row r="182" spans="1:12" ht="15.75">
      <c r="A182" s="17"/>
      <c r="B182" s="18"/>
      <c r="C182" s="19"/>
      <c r="D182" s="20"/>
      <c r="E182" s="21"/>
      <c r="F182" s="69"/>
      <c r="G182" s="45"/>
      <c r="H182" s="45"/>
      <c r="I182" s="45"/>
      <c r="J182" s="45"/>
      <c r="K182" s="58"/>
      <c r="L182" s="45"/>
    </row>
    <row r="183" spans="1:12" ht="15.75">
      <c r="A183" s="17"/>
      <c r="B183" s="18"/>
      <c r="C183" s="19"/>
      <c r="D183" s="20"/>
      <c r="E183" s="21"/>
      <c r="F183" s="69"/>
      <c r="G183" s="45"/>
      <c r="H183" s="45"/>
      <c r="I183" s="45"/>
      <c r="J183" s="45"/>
      <c r="K183" s="58"/>
      <c r="L183" s="45"/>
    </row>
    <row r="184" spans="1:12" ht="15.75">
      <c r="A184" s="27"/>
      <c r="B184" s="28"/>
      <c r="C184" s="29"/>
      <c r="D184" s="30" t="s">
        <v>32</v>
      </c>
      <c r="E184" s="31"/>
      <c r="F184" s="33">
        <f>SUM(F176:F183)</f>
        <v>680</v>
      </c>
      <c r="G184" s="33">
        <f>SUM(G176:G183)</f>
        <v>31.206666666666667</v>
      </c>
      <c r="H184" s="33">
        <f>SUM(H176:H183)</f>
        <v>31.08</v>
      </c>
      <c r="I184" s="33">
        <f>SUM(I176:I183)</f>
        <v>100</v>
      </c>
      <c r="J184" s="33">
        <f>SUM(J176:J183)</f>
        <v>785.88333333333333</v>
      </c>
      <c r="K184" s="70"/>
      <c r="L184" s="33">
        <f>SUM(L176:L183)</f>
        <v>145.05000000000001</v>
      </c>
    </row>
    <row r="185" spans="1:12" ht="15.75" thickBot="1">
      <c r="A185" s="73">
        <v>2</v>
      </c>
      <c r="B185" s="74">
        <v>5</v>
      </c>
      <c r="C185" s="208" t="s">
        <v>43</v>
      </c>
      <c r="D185" s="209"/>
      <c r="E185" s="40"/>
      <c r="F185" s="48">
        <f>F175+F184</f>
        <v>1210</v>
      </c>
      <c r="G185" s="48">
        <f>G175+G184</f>
        <v>58.916666666666671</v>
      </c>
      <c r="H185" s="48">
        <f>H175+H184</f>
        <v>52.980000000000004</v>
      </c>
      <c r="I185" s="48">
        <f>I175+I184</f>
        <v>184.46</v>
      </c>
      <c r="J185" s="48">
        <f>J175+J184</f>
        <v>1432.9933333333333</v>
      </c>
      <c r="K185" s="48"/>
      <c r="L185" s="48">
        <f>L175+L184</f>
        <v>270.09000000000003</v>
      </c>
    </row>
    <row r="196" spans="5:13">
      <c r="E196" s="85"/>
      <c r="F196" s="85"/>
      <c r="G196" s="85"/>
      <c r="H196" s="85"/>
      <c r="I196" s="85"/>
      <c r="J196" s="85"/>
      <c r="K196" s="85"/>
      <c r="L196" s="85"/>
      <c r="M196" s="85"/>
    </row>
    <row r="197" spans="5:13" ht="15.75">
      <c r="E197" s="86"/>
      <c r="F197" s="87"/>
      <c r="G197" s="88"/>
      <c r="H197" s="88"/>
      <c r="I197" s="88"/>
      <c r="J197" s="88"/>
      <c r="K197" s="88"/>
      <c r="L197" s="89"/>
      <c r="M197" s="90"/>
    </row>
    <row r="198" spans="5:13" ht="15.75">
      <c r="E198" s="91"/>
      <c r="F198" s="92"/>
      <c r="G198" s="93"/>
      <c r="H198" s="93"/>
      <c r="I198" s="93"/>
      <c r="J198" s="93"/>
      <c r="K198" s="93"/>
      <c r="L198" s="89"/>
      <c r="M198" s="90"/>
    </row>
    <row r="199" spans="5:13" ht="15.75">
      <c r="E199" s="94"/>
      <c r="F199" s="88"/>
      <c r="G199" s="88"/>
      <c r="H199" s="88"/>
      <c r="I199" s="88"/>
      <c r="J199" s="88"/>
      <c r="K199" s="95"/>
      <c r="L199" s="85"/>
      <c r="M199" s="85"/>
    </row>
    <row r="200" spans="5:13" ht="15.75">
      <c r="E200" s="94"/>
      <c r="F200" s="88"/>
      <c r="G200" s="88"/>
      <c r="H200" s="88"/>
      <c r="I200" s="88"/>
      <c r="J200" s="88"/>
      <c r="K200" s="95"/>
      <c r="L200" s="85"/>
      <c r="M200" s="85"/>
    </row>
    <row r="201" spans="5:13" ht="15.75">
      <c r="E201" s="94"/>
      <c r="F201" s="88"/>
      <c r="G201" s="88"/>
      <c r="H201" s="88"/>
      <c r="I201" s="88"/>
      <c r="J201" s="88"/>
      <c r="K201" s="95"/>
      <c r="L201" s="85"/>
      <c r="M201" s="85"/>
    </row>
    <row r="202" spans="5:13" ht="15.75">
      <c r="E202" s="92"/>
      <c r="F202" s="88"/>
      <c r="G202" s="88"/>
      <c r="H202" s="88"/>
      <c r="I202" s="88"/>
      <c r="J202" s="88"/>
      <c r="K202" s="95"/>
      <c r="L202" s="85"/>
      <c r="M202" s="85"/>
    </row>
    <row r="203" spans="5:13" ht="15.75">
      <c r="E203" s="96"/>
      <c r="F203" s="97"/>
      <c r="G203" s="93"/>
      <c r="H203" s="93"/>
      <c r="I203" s="93"/>
      <c r="J203" s="93"/>
      <c r="K203" s="85"/>
      <c r="L203" s="85"/>
      <c r="M203" s="85"/>
    </row>
    <row r="204" spans="5:13" ht="15.75">
      <c r="E204" s="92"/>
      <c r="F204" s="93"/>
      <c r="G204" s="88"/>
      <c r="H204" s="88"/>
      <c r="I204" s="88"/>
      <c r="J204" s="88"/>
      <c r="K204" s="89"/>
      <c r="L204" s="85"/>
      <c r="M204" s="85"/>
    </row>
    <row r="205" spans="5:13" ht="15.75">
      <c r="E205" s="94"/>
      <c r="F205" s="88"/>
      <c r="G205" s="93"/>
      <c r="H205" s="93"/>
      <c r="I205" s="93"/>
      <c r="J205" s="93"/>
      <c r="K205" s="89"/>
      <c r="L205" s="85"/>
      <c r="M205" s="85"/>
    </row>
    <row r="206" spans="5:13" ht="15.75">
      <c r="E206" s="94"/>
      <c r="F206" s="88"/>
      <c r="G206" s="93"/>
      <c r="H206" s="93"/>
      <c r="I206" s="93"/>
      <c r="J206" s="93"/>
      <c r="K206" s="89"/>
      <c r="L206" s="85"/>
      <c r="M206" s="85"/>
    </row>
    <row r="207" spans="5:13" ht="15.75">
      <c r="E207" s="92"/>
      <c r="F207" s="88"/>
      <c r="G207" s="88"/>
      <c r="H207" s="88"/>
      <c r="I207" s="88"/>
      <c r="J207" s="93"/>
      <c r="K207" s="89"/>
      <c r="L207" s="85"/>
      <c r="M207" s="85"/>
    </row>
    <row r="208" spans="5:13" ht="15.75">
      <c r="E208" s="92"/>
      <c r="F208" s="88"/>
      <c r="G208" s="88"/>
      <c r="H208" s="88"/>
      <c r="I208" s="88"/>
      <c r="J208" s="88"/>
      <c r="K208" s="89"/>
      <c r="L208" s="85"/>
      <c r="M208" s="85"/>
    </row>
    <row r="209" spans="5:13" ht="15.75">
      <c r="E209" s="98"/>
      <c r="F209" s="88"/>
      <c r="G209" s="88"/>
      <c r="H209" s="88"/>
      <c r="I209" s="88"/>
      <c r="J209" s="88"/>
      <c r="K209" s="99"/>
      <c r="L209" s="85"/>
      <c r="M209" s="85"/>
    </row>
    <row r="210" spans="5:13" ht="15.75">
      <c r="E210" s="98"/>
      <c r="F210" s="88"/>
      <c r="G210" s="88"/>
      <c r="H210" s="88"/>
      <c r="I210" s="88"/>
      <c r="J210" s="88"/>
      <c r="K210" s="89"/>
      <c r="L210" s="85"/>
      <c r="M210" s="85"/>
    </row>
    <row r="211" spans="5:13" ht="15.75">
      <c r="E211" s="92"/>
      <c r="F211" s="93"/>
      <c r="G211" s="93"/>
      <c r="H211" s="93"/>
      <c r="I211" s="93"/>
      <c r="J211" s="93"/>
      <c r="K211" s="100"/>
      <c r="L211" s="85"/>
      <c r="M211" s="85"/>
    </row>
    <row r="212" spans="5:13">
      <c r="E212" s="85"/>
      <c r="F212" s="85"/>
      <c r="G212" s="85"/>
      <c r="H212" s="85"/>
      <c r="I212" s="85"/>
      <c r="J212" s="85"/>
      <c r="K212" s="85"/>
      <c r="L212" s="85"/>
      <c r="M212" s="85"/>
    </row>
    <row r="213" spans="5:13">
      <c r="E213" s="85"/>
      <c r="F213" s="85"/>
      <c r="G213" s="85"/>
      <c r="H213" s="85"/>
      <c r="I213" s="85"/>
      <c r="J213" s="85"/>
      <c r="K213" s="85"/>
      <c r="L213" s="85"/>
      <c r="M213" s="85"/>
    </row>
  </sheetData>
  <mergeCells count="11">
    <mergeCell ref="C1:E1"/>
    <mergeCell ref="H1:K1"/>
    <mergeCell ref="H2:K2"/>
    <mergeCell ref="C23:D23"/>
    <mergeCell ref="C40:D40"/>
    <mergeCell ref="C149:D149"/>
    <mergeCell ref="C168:D168"/>
    <mergeCell ref="C185:D185"/>
    <mergeCell ref="C59:D59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95" fitToHeight="0" orientation="landscape" r:id="rId1"/>
  <rowBreaks count="6" manualBreakCount="6">
    <brk id="40" max="16383" man="1"/>
    <brk id="59" max="16383" man="1"/>
    <brk id="77" max="16383" man="1"/>
    <brk id="95" max="16383" man="1"/>
    <brk id="113" max="16383" man="1"/>
    <brk id="131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2025-11-21T05:31:59Z</cp:lastPrinted>
  <dcterms:created xsi:type="dcterms:W3CDTF">2022-05-16T14:23:00Z</dcterms:created>
  <dcterms:modified xsi:type="dcterms:W3CDTF">2025-11-27T05:56:10Z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