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200" windowHeight="10980"/>
  </bookViews>
  <sheets>
    <sheet name="все" sheetId="1" r:id="rId1"/>
    <sheet name="лист" sheetId="2" r:id="rId2"/>
  </sheets>
  <definedNames>
    <definedName name="_xlnm.Print_Area" localSheetId="0">все!$A$1:$L$186</definedName>
  </definedNames>
  <calcPr calcId="162913"/>
</workbook>
</file>

<file path=xl/calcChain.xml><?xml version="1.0" encoding="utf-8"?>
<calcChain xmlns="http://schemas.openxmlformats.org/spreadsheetml/2006/main">
  <c r="L184" i="1" l="1"/>
  <c r="I185" i="1"/>
  <c r="H185" i="1"/>
  <c r="H184" i="1"/>
  <c r="G174" i="1"/>
  <c r="L166" i="1" l="1"/>
  <c r="G167" i="1"/>
  <c r="I166" i="1"/>
  <c r="G156" i="1"/>
  <c r="J149" i="1"/>
  <c r="G149" i="1"/>
  <c r="J148" i="1"/>
  <c r="I148" i="1"/>
  <c r="G139" i="1"/>
  <c r="L120" i="1" l="1"/>
  <c r="G130" i="1"/>
  <c r="I112" i="1"/>
  <c r="L95" i="1"/>
  <c r="G96" i="1"/>
  <c r="L78" i="1"/>
  <c r="L48" i="1" l="1"/>
  <c r="I58" i="1"/>
  <c r="J40" i="1"/>
  <c r="L39" i="1"/>
  <c r="L12" i="1" l="1"/>
  <c r="L130" i="1" l="1"/>
  <c r="J47" i="1"/>
  <c r="I47" i="1"/>
  <c r="H47" i="1"/>
  <c r="G47" i="1"/>
  <c r="J171" i="1" l="1"/>
  <c r="H171" i="1"/>
  <c r="G171" i="1"/>
  <c r="L139" i="1"/>
  <c r="L131" i="1"/>
  <c r="L77" i="1"/>
  <c r="L67" i="1"/>
  <c r="I64" i="1"/>
  <c r="H64" i="1"/>
  <c r="G64" i="1"/>
  <c r="G42" i="1"/>
  <c r="H42" i="1"/>
  <c r="I42" i="1"/>
  <c r="J42" i="1"/>
  <c r="J33" i="1"/>
  <c r="I33" i="1"/>
  <c r="H33" i="1"/>
  <c r="G33" i="1"/>
  <c r="J31" i="1" l="1"/>
  <c r="I31" i="1"/>
  <c r="H31" i="1"/>
  <c r="G31" i="1"/>
  <c r="L22" i="1" l="1"/>
  <c r="L174" i="1" l="1"/>
  <c r="I171" i="1"/>
  <c r="G169" i="1"/>
  <c r="J157" i="1"/>
  <c r="I157" i="1"/>
  <c r="H157" i="1"/>
  <c r="G157" i="1"/>
  <c r="L156" i="1"/>
  <c r="L148" i="1"/>
  <c r="J14" i="1"/>
  <c r="I14" i="1"/>
  <c r="H14" i="1"/>
  <c r="G14" i="1"/>
  <c r="H158" i="1" l="1"/>
  <c r="J158" i="1"/>
  <c r="I158" i="1"/>
  <c r="G158" i="1"/>
  <c r="L112" i="1"/>
  <c r="L58" i="1"/>
  <c r="L30" i="1"/>
  <c r="G132" i="1" l="1"/>
  <c r="H132" i="1"/>
  <c r="I132" i="1"/>
  <c r="J132" i="1"/>
  <c r="G133" i="1"/>
  <c r="H133" i="1"/>
  <c r="I133" i="1"/>
  <c r="J133" i="1"/>
  <c r="G135" i="1"/>
  <c r="H135" i="1"/>
  <c r="I135" i="1"/>
  <c r="J135" i="1"/>
  <c r="G136" i="1"/>
  <c r="H136" i="1"/>
  <c r="I136" i="1"/>
  <c r="J136" i="1"/>
  <c r="G137" i="1"/>
  <c r="H137" i="1"/>
  <c r="I137" i="1"/>
  <c r="J137" i="1"/>
  <c r="J64" i="1"/>
  <c r="H139" i="1" l="1"/>
  <c r="L85" i="1"/>
  <c r="G32" i="1" l="1"/>
  <c r="G35" i="1"/>
  <c r="G36" i="1"/>
  <c r="J177" i="1" l="1"/>
  <c r="J176" i="1"/>
  <c r="J175" i="1"/>
  <c r="I176" i="1"/>
  <c r="H176" i="1"/>
  <c r="H175" i="1"/>
  <c r="H178" i="1"/>
  <c r="G178" i="1"/>
  <c r="G176" i="1" l="1"/>
  <c r="J169" i="1"/>
  <c r="J168" i="1"/>
  <c r="I168" i="1"/>
  <c r="H168" i="1"/>
  <c r="G168" i="1"/>
  <c r="J160" i="1"/>
  <c r="I160" i="1"/>
  <c r="H160" i="1"/>
  <c r="G160" i="1"/>
  <c r="J151" i="1" l="1"/>
  <c r="I151" i="1"/>
  <c r="H151" i="1"/>
  <c r="H150" i="1"/>
  <c r="G151" i="1"/>
  <c r="J141" i="1"/>
  <c r="H143" i="1"/>
  <c r="H140" i="1"/>
  <c r="G140" i="1"/>
  <c r="J124" i="1"/>
  <c r="J123" i="1"/>
  <c r="J122" i="1"/>
  <c r="I122" i="1"/>
  <c r="G124" i="1"/>
  <c r="J115" i="1"/>
  <c r="I115" i="1"/>
  <c r="H115" i="1"/>
  <c r="G115" i="1"/>
  <c r="J104" i="1"/>
  <c r="J105" i="1"/>
  <c r="I105" i="1"/>
  <c r="H105" i="1"/>
  <c r="G105" i="1"/>
  <c r="J88" i="1"/>
  <c r="J86" i="1"/>
  <c r="I86" i="1"/>
  <c r="H89" i="1"/>
  <c r="J87" i="1"/>
  <c r="I87" i="1"/>
  <c r="H87" i="1"/>
  <c r="G87" i="1"/>
  <c r="G86" i="1"/>
  <c r="J69" i="1"/>
  <c r="J68" i="1"/>
  <c r="I68" i="1"/>
  <c r="I69" i="1"/>
  <c r="G68" i="1"/>
  <c r="J51" i="1" l="1"/>
  <c r="J50" i="1"/>
  <c r="I51" i="1"/>
  <c r="H52" i="1"/>
  <c r="H51" i="1"/>
  <c r="H49" i="1"/>
  <c r="G51" i="1"/>
  <c r="G58" i="1" s="1"/>
  <c r="J43" i="1"/>
  <c r="G43" i="1"/>
  <c r="J32" i="1"/>
  <c r="H32" i="1"/>
  <c r="J26" i="1"/>
  <c r="J25" i="1"/>
  <c r="H25" i="1"/>
  <c r="I13" i="1" l="1"/>
  <c r="I15" i="1"/>
  <c r="H15" i="1"/>
  <c r="J16" i="1"/>
  <c r="G16" i="1"/>
  <c r="G6" i="1"/>
  <c r="H122" i="1" l="1"/>
  <c r="G122" i="1"/>
  <c r="G69" i="1"/>
  <c r="H69" i="1"/>
  <c r="I50" i="1"/>
  <c r="H50" i="1"/>
  <c r="G50" i="1"/>
  <c r="I32" i="1"/>
  <c r="I24" i="1"/>
  <c r="J146" i="1" l="1"/>
  <c r="L103" i="1"/>
  <c r="F48" i="1" l="1"/>
  <c r="L23" i="1" l="1"/>
  <c r="G177" i="1" l="1"/>
  <c r="J172" i="1"/>
  <c r="I172" i="1"/>
  <c r="H172" i="1"/>
  <c r="G172" i="1"/>
  <c r="J153" i="1"/>
  <c r="I153" i="1"/>
  <c r="H153" i="1"/>
  <c r="G153" i="1"/>
  <c r="F156" i="1"/>
  <c r="J150" i="1"/>
  <c r="I150" i="1"/>
  <c r="G150" i="1"/>
  <c r="J143" i="1"/>
  <c r="I142" i="1"/>
  <c r="J142" i="1"/>
  <c r="H142" i="1"/>
  <c r="G142" i="1"/>
  <c r="I140" i="1"/>
  <c r="G123" i="1"/>
  <c r="J117" i="1"/>
  <c r="I117" i="1"/>
  <c r="H117" i="1"/>
  <c r="G117" i="1"/>
  <c r="J83" i="1"/>
  <c r="I83" i="1"/>
  <c r="H83" i="1"/>
  <c r="G83" i="1"/>
  <c r="I106" i="1"/>
  <c r="H106" i="1"/>
  <c r="G106" i="1"/>
  <c r="J97" i="1"/>
  <c r="F112" i="1"/>
  <c r="F103" i="1"/>
  <c r="J106" i="1"/>
  <c r="J91" i="1"/>
  <c r="I91" i="1"/>
  <c r="H91" i="1"/>
  <c r="G91" i="1"/>
  <c r="F113" i="1" l="1"/>
  <c r="L113" i="1"/>
  <c r="J89" i="1"/>
  <c r="G88" i="1"/>
  <c r="F85" i="1"/>
  <c r="J73" i="1" l="1"/>
  <c r="I73" i="1"/>
  <c r="H73" i="1"/>
  <c r="G73" i="1"/>
  <c r="J63" i="1"/>
  <c r="I63" i="1"/>
  <c r="H63" i="1"/>
  <c r="G63" i="1"/>
  <c r="J62" i="1"/>
  <c r="I62" i="1"/>
  <c r="H62" i="1"/>
  <c r="G62" i="1"/>
  <c r="J54" i="1"/>
  <c r="I54" i="1"/>
  <c r="H54" i="1"/>
  <c r="H58" i="1" s="1"/>
  <c r="G54" i="1"/>
  <c r="H46" i="1"/>
  <c r="J35" i="1" l="1"/>
  <c r="I35" i="1"/>
  <c r="H35" i="1"/>
  <c r="J34" i="1"/>
  <c r="I34" i="1"/>
  <c r="H34" i="1"/>
  <c r="G34" i="1" s="1"/>
  <c r="H24" i="1"/>
  <c r="G24" i="1"/>
  <c r="F12" i="1"/>
  <c r="J10" i="1"/>
  <c r="I10" i="1"/>
  <c r="H10" i="1"/>
  <c r="G10" i="1"/>
  <c r="J17" i="1" l="1"/>
  <c r="I17" i="1"/>
  <c r="H17" i="1"/>
  <c r="G17" i="1"/>
  <c r="J8" i="1"/>
  <c r="I8" i="1"/>
  <c r="H8" i="1"/>
  <c r="G8" i="1"/>
  <c r="J6" i="1"/>
  <c r="I6" i="1"/>
  <c r="H6" i="1"/>
  <c r="I175" i="1" l="1"/>
  <c r="G175" i="1"/>
  <c r="J159" i="1" l="1"/>
  <c r="I159" i="1"/>
  <c r="H159" i="1"/>
  <c r="G159" i="1"/>
  <c r="J163" i="1"/>
  <c r="I163" i="1"/>
  <c r="H163" i="1"/>
  <c r="G163" i="1"/>
  <c r="J162" i="1"/>
  <c r="I162" i="1"/>
  <c r="H162" i="1"/>
  <c r="G162" i="1"/>
  <c r="G154" i="1"/>
  <c r="H154" i="1"/>
  <c r="I154" i="1"/>
  <c r="I156" i="1" s="1"/>
  <c r="J154" i="1"/>
  <c r="I141" i="1"/>
  <c r="H141" i="1"/>
  <c r="G141" i="1"/>
  <c r="J140" i="1"/>
  <c r="I143" i="1"/>
  <c r="G143" i="1"/>
  <c r="I146" i="1"/>
  <c r="H146" i="1"/>
  <c r="G146" i="1"/>
  <c r="J145" i="1"/>
  <c r="I145" i="1"/>
  <c r="H145" i="1"/>
  <c r="H148" i="1" s="1"/>
  <c r="H149" i="1" s="1"/>
  <c r="G145" i="1"/>
  <c r="I124" i="1"/>
  <c r="H124" i="1"/>
  <c r="I123" i="1"/>
  <c r="H123" i="1"/>
  <c r="J126" i="1"/>
  <c r="I126" i="1"/>
  <c r="H126" i="1"/>
  <c r="G126" i="1"/>
  <c r="J121" i="1"/>
  <c r="I121" i="1"/>
  <c r="H121" i="1"/>
  <c r="G121" i="1"/>
  <c r="J114" i="1"/>
  <c r="I114" i="1"/>
  <c r="H114" i="1"/>
  <c r="G114" i="1"/>
  <c r="I104" i="1"/>
  <c r="H104" i="1"/>
  <c r="G104" i="1"/>
  <c r="I97" i="1"/>
  <c r="H97" i="1"/>
  <c r="G97" i="1"/>
  <c r="J100" i="1"/>
  <c r="I100" i="1"/>
  <c r="H100" i="1"/>
  <c r="G100" i="1"/>
  <c r="J101" i="1"/>
  <c r="I101" i="1"/>
  <c r="H101" i="1"/>
  <c r="G101" i="1"/>
  <c r="H86" i="1"/>
  <c r="I88" i="1"/>
  <c r="H88" i="1"/>
  <c r="I89" i="1"/>
  <c r="G89" i="1"/>
  <c r="J92" i="1"/>
  <c r="I92" i="1"/>
  <c r="H92" i="1"/>
  <c r="G92" i="1"/>
  <c r="G95" i="1" s="1"/>
  <c r="J156" i="1" l="1"/>
  <c r="H156" i="1"/>
  <c r="H103" i="1"/>
  <c r="I103" i="1"/>
  <c r="J103" i="1"/>
  <c r="G103" i="1"/>
  <c r="J80" i="1"/>
  <c r="I80" i="1"/>
  <c r="H80" i="1"/>
  <c r="G80" i="1"/>
  <c r="J82" i="1"/>
  <c r="I82" i="1"/>
  <c r="H82" i="1"/>
  <c r="G82" i="1"/>
  <c r="H68" i="1"/>
  <c r="J71" i="1"/>
  <c r="I71" i="1"/>
  <c r="H71" i="1"/>
  <c r="G71" i="1"/>
  <c r="J108" i="1"/>
  <c r="I108" i="1"/>
  <c r="H108" i="1"/>
  <c r="G108" i="1"/>
  <c r="J70" i="1"/>
  <c r="I70" i="1"/>
  <c r="H70" i="1"/>
  <c r="G70" i="1"/>
  <c r="J60" i="1" l="1"/>
  <c r="I60" i="1"/>
  <c r="H60" i="1"/>
  <c r="G60" i="1"/>
  <c r="J49" i="1"/>
  <c r="I49" i="1"/>
  <c r="G49" i="1"/>
  <c r="J55" i="1"/>
  <c r="I55" i="1"/>
  <c r="H55" i="1"/>
  <c r="G55" i="1"/>
  <c r="J52" i="1"/>
  <c r="I52" i="1"/>
  <c r="G52" i="1"/>
  <c r="I25" i="1" l="1"/>
  <c r="G25" i="1"/>
  <c r="J24" i="1"/>
  <c r="J30" i="1" s="1"/>
  <c r="G27" i="1"/>
  <c r="H27" i="1"/>
  <c r="I27" i="1"/>
  <c r="J27" i="1"/>
  <c r="G28" i="1"/>
  <c r="H28" i="1"/>
  <c r="I28" i="1"/>
  <c r="J28" i="1"/>
  <c r="J9" i="1"/>
  <c r="J12" i="1" s="1"/>
  <c r="I9" i="1"/>
  <c r="I12" i="1" s="1"/>
  <c r="H9" i="1"/>
  <c r="H12" i="1" s="1"/>
  <c r="G9" i="1"/>
  <c r="G12" i="1" s="1"/>
  <c r="J13" i="1"/>
  <c r="H13" i="1"/>
  <c r="G13" i="1"/>
  <c r="J15" i="1"/>
  <c r="G15" i="1"/>
  <c r="I16" i="1"/>
  <c r="H16" i="1"/>
  <c r="J18" i="1"/>
  <c r="I18" i="1"/>
  <c r="H18" i="1"/>
  <c r="G18" i="1"/>
  <c r="J19" i="1"/>
  <c r="I19" i="1"/>
  <c r="H19" i="1"/>
  <c r="G19" i="1"/>
  <c r="G22" i="1" s="1"/>
  <c r="G30" i="1" l="1"/>
  <c r="F184" i="1"/>
  <c r="J181" i="1"/>
  <c r="I181" i="1"/>
  <c r="H181" i="1"/>
  <c r="G181" i="1"/>
  <c r="J180" i="1"/>
  <c r="I180" i="1"/>
  <c r="I184" i="1" s="1"/>
  <c r="H180" i="1"/>
  <c r="G180" i="1"/>
  <c r="G184" i="1" s="1"/>
  <c r="G185" i="1" s="1"/>
  <c r="J178" i="1"/>
  <c r="I178" i="1"/>
  <c r="I177" i="1"/>
  <c r="H177" i="1"/>
  <c r="F174" i="1"/>
  <c r="J174" i="1"/>
  <c r="I169" i="1"/>
  <c r="I174" i="1" s="1"/>
  <c r="H169" i="1"/>
  <c r="H174" i="1" s="1"/>
  <c r="L167" i="1"/>
  <c r="F166" i="1"/>
  <c r="F167" i="1" s="1"/>
  <c r="G166" i="1"/>
  <c r="B149" i="1"/>
  <c r="A149" i="1"/>
  <c r="F148" i="1"/>
  <c r="G148" i="1"/>
  <c r="B140" i="1"/>
  <c r="A140" i="1"/>
  <c r="F139" i="1"/>
  <c r="B131" i="1"/>
  <c r="A131" i="1"/>
  <c r="F130" i="1"/>
  <c r="J127" i="1"/>
  <c r="J130" i="1" s="1"/>
  <c r="I127" i="1"/>
  <c r="I130" i="1" s="1"/>
  <c r="H127" i="1"/>
  <c r="H130" i="1" s="1"/>
  <c r="G127" i="1"/>
  <c r="B121" i="1"/>
  <c r="A121" i="1"/>
  <c r="F120" i="1"/>
  <c r="J120" i="1"/>
  <c r="I120" i="1"/>
  <c r="H120" i="1"/>
  <c r="G120" i="1"/>
  <c r="B113" i="1"/>
  <c r="A113" i="1"/>
  <c r="J110" i="1"/>
  <c r="I110" i="1"/>
  <c r="H110" i="1"/>
  <c r="G110" i="1"/>
  <c r="J107" i="1"/>
  <c r="I107" i="1"/>
  <c r="H107" i="1"/>
  <c r="G107" i="1"/>
  <c r="B104" i="1"/>
  <c r="A104" i="1"/>
  <c r="B96" i="1"/>
  <c r="A96" i="1"/>
  <c r="F95" i="1"/>
  <c r="H95" i="1"/>
  <c r="J95" i="1"/>
  <c r="B86" i="1"/>
  <c r="A86" i="1"/>
  <c r="J85" i="1"/>
  <c r="I85" i="1"/>
  <c r="H85" i="1"/>
  <c r="G85" i="1"/>
  <c r="B78" i="1"/>
  <c r="A78" i="1"/>
  <c r="F77" i="1"/>
  <c r="J74" i="1"/>
  <c r="I74" i="1"/>
  <c r="H74" i="1"/>
  <c r="G74" i="1"/>
  <c r="B68" i="1"/>
  <c r="A68" i="1"/>
  <c r="F67" i="1"/>
  <c r="J67" i="1"/>
  <c r="I67" i="1"/>
  <c r="H67" i="1"/>
  <c r="G67" i="1"/>
  <c r="B59" i="1"/>
  <c r="A59" i="1"/>
  <c r="F58" i="1"/>
  <c r="B49" i="1"/>
  <c r="A49" i="1"/>
  <c r="J46" i="1"/>
  <c r="I46" i="1"/>
  <c r="G46" i="1"/>
  <c r="J45" i="1"/>
  <c r="I45" i="1"/>
  <c r="H45" i="1"/>
  <c r="G45" i="1"/>
  <c r="G48" i="1" s="1"/>
  <c r="I43" i="1"/>
  <c r="H43" i="1"/>
  <c r="B40" i="1"/>
  <c r="A40" i="1"/>
  <c r="F39" i="1"/>
  <c r="J36" i="1"/>
  <c r="J39" i="1" s="1"/>
  <c r="I36" i="1"/>
  <c r="H36" i="1"/>
  <c r="H39" i="1" s="1"/>
  <c r="G39" i="1"/>
  <c r="F30" i="1"/>
  <c r="I30" i="1"/>
  <c r="H30" i="1"/>
  <c r="B23" i="1"/>
  <c r="A23" i="1"/>
  <c r="F22" i="1"/>
  <c r="H22" i="1"/>
  <c r="J22" i="1"/>
  <c r="I22" i="1"/>
  <c r="B13" i="1"/>
  <c r="A13" i="1"/>
  <c r="G131" i="1" l="1"/>
  <c r="J96" i="1"/>
  <c r="G59" i="1"/>
  <c r="G112" i="1"/>
  <c r="G113" i="1" s="1"/>
  <c r="H48" i="1"/>
  <c r="I48" i="1"/>
  <c r="I113" i="1"/>
  <c r="J112" i="1"/>
  <c r="J113" i="1" s="1"/>
  <c r="F185" i="1"/>
  <c r="L185" i="1"/>
  <c r="H112" i="1"/>
  <c r="H113" i="1" s="1"/>
  <c r="J184" i="1"/>
  <c r="J185" i="1" s="1"/>
  <c r="F131" i="1"/>
  <c r="I131" i="1"/>
  <c r="J48" i="1"/>
  <c r="I167" i="1"/>
  <c r="F40" i="1"/>
  <c r="I39" i="1"/>
  <c r="I40" i="1" s="1"/>
  <c r="I139" i="1"/>
  <c r="I149" i="1" s="1"/>
  <c r="H166" i="1"/>
  <c r="H167" i="1" s="1"/>
  <c r="J166" i="1"/>
  <c r="J167" i="1" s="1"/>
  <c r="J58" i="1"/>
  <c r="J139" i="1"/>
  <c r="F149" i="1"/>
  <c r="L149" i="1"/>
  <c r="J131" i="1"/>
  <c r="J23" i="1"/>
  <c r="F78" i="1"/>
  <c r="G77" i="1"/>
  <c r="G78" i="1" s="1"/>
  <c r="I77" i="1"/>
  <c r="I78" i="1" s="1"/>
  <c r="H131" i="1"/>
  <c r="H77" i="1"/>
  <c r="H78" i="1" s="1"/>
  <c r="J77" i="1"/>
  <c r="J78" i="1" s="1"/>
  <c r="F59" i="1"/>
  <c r="H96" i="1"/>
  <c r="L96" i="1"/>
  <c r="F96" i="1"/>
  <c r="I95" i="1"/>
  <c r="I96" i="1" s="1"/>
  <c r="L59" i="1"/>
  <c r="L40" i="1"/>
  <c r="G40" i="1"/>
  <c r="H40" i="1"/>
  <c r="F23" i="1"/>
  <c r="H23" i="1"/>
  <c r="I23" i="1"/>
  <c r="H59" i="1" l="1"/>
  <c r="H186" i="1" s="1"/>
  <c r="I59" i="1"/>
  <c r="I186" i="1" s="1"/>
  <c r="J59" i="1"/>
  <c r="J186" i="1" s="1"/>
  <c r="F186" i="1"/>
  <c r="G23" i="1"/>
  <c r="G186" i="1" s="1"/>
  <c r="L186" i="1"/>
</calcChain>
</file>

<file path=xl/sharedStrings.xml><?xml version="1.0" encoding="utf-8"?>
<sst xmlns="http://schemas.openxmlformats.org/spreadsheetml/2006/main" count="406" uniqueCount="160">
  <si>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</si>
  <si>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</si>
  <si>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</si>
  <si>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</si>
  <si>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</si>
  <si>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</si>
  <si>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</si>
  <si>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</si>
  <si>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</si>
  <si>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</si>
  <si>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</si>
  <si>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</si>
  <si>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</si>
  <si>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</si>
  <si>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</si>
  <si>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</si>
  <si>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</si>
  <si>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</si>
  <si>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</si>
  <si>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</si>
  <si>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</si>
  <si>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</si>
  <si>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</si>
  <si>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</si>
  <si>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Кофейный напиток на молоке</t>
  </si>
  <si>
    <t>пром</t>
  </si>
  <si>
    <t>Бутерброд с сыром</t>
  </si>
  <si>
    <t>итого</t>
  </si>
  <si>
    <t>Обед</t>
  </si>
  <si>
    <t>закуска</t>
  </si>
  <si>
    <t>1 блюдо</t>
  </si>
  <si>
    <t>2 блюдо</t>
  </si>
  <si>
    <t>гарнир</t>
  </si>
  <si>
    <t>Макароны отварные</t>
  </si>
  <si>
    <t>Компот из кураги и яблок</t>
  </si>
  <si>
    <t>хлеб бел.</t>
  </si>
  <si>
    <t>Хлеб пшеничный витаминизированный</t>
  </si>
  <si>
    <t>хлеб черн.</t>
  </si>
  <si>
    <t>Итого за день:</t>
  </si>
  <si>
    <t xml:space="preserve">пром </t>
  </si>
  <si>
    <t xml:space="preserve">Котлета из кур </t>
  </si>
  <si>
    <t>Напиток "Золотой шар"</t>
  </si>
  <si>
    <t>37.2</t>
  </si>
  <si>
    <t>Голень или бедро птицы отварное</t>
  </si>
  <si>
    <t>Компот из сухофруктов</t>
  </si>
  <si>
    <t>Суп-лапша на куринном бульоне с зеленью</t>
  </si>
  <si>
    <t>Каша гречневая рассыпчатая</t>
  </si>
  <si>
    <t>Колбаски "Витаминные"</t>
  </si>
  <si>
    <t>64</t>
  </si>
  <si>
    <t>Компот из яблок и изюма</t>
  </si>
  <si>
    <t>23</t>
  </si>
  <si>
    <t>Картофельное пюре</t>
  </si>
  <si>
    <t>36.10</t>
  </si>
  <si>
    <t xml:space="preserve">Плов </t>
  </si>
  <si>
    <t>Напиток из шиповника</t>
  </si>
  <si>
    <t>37.10</t>
  </si>
  <si>
    <t>Каша пшеничная молочная с маслом сливочным</t>
  </si>
  <si>
    <t>32.10</t>
  </si>
  <si>
    <t>фрукт</t>
  </si>
  <si>
    <t>18.2</t>
  </si>
  <si>
    <t>Чай каркаде</t>
  </si>
  <si>
    <t>27.11</t>
  </si>
  <si>
    <t>Бутерброд с маслом</t>
  </si>
  <si>
    <t>39.3</t>
  </si>
  <si>
    <t xml:space="preserve">Суфле из мяса кур </t>
  </si>
  <si>
    <t>Винегрет овощной</t>
  </si>
  <si>
    <t>Тефтели рыбные  в соусе</t>
  </si>
  <si>
    <t>Мясо кур отварное в соусе</t>
  </si>
  <si>
    <t>46.3</t>
  </si>
  <si>
    <t>38.2</t>
  </si>
  <si>
    <t>Биточек мясной паровой</t>
  </si>
  <si>
    <t>Рагу из овощей</t>
  </si>
  <si>
    <t>32/3</t>
  </si>
  <si>
    <t>44357</t>
  </si>
  <si>
    <t>Среднее значение за период:</t>
  </si>
  <si>
    <t>Гренки</t>
  </si>
  <si>
    <t>Фрукты</t>
  </si>
  <si>
    <t>90</t>
  </si>
  <si>
    <t>16.2</t>
  </si>
  <si>
    <t>16.81</t>
  </si>
  <si>
    <t>Суфле "Рыбка"</t>
  </si>
  <si>
    <t xml:space="preserve">хлеб </t>
  </si>
  <si>
    <t>29/2</t>
  </si>
  <si>
    <t>40/2</t>
  </si>
  <si>
    <t>Председатель Правления ПК"СЫСЕРТСКОЕ РАЙПО"</t>
  </si>
  <si>
    <t>Шалапугина Н.В.</t>
  </si>
  <si>
    <t>40/3</t>
  </si>
  <si>
    <t>сладкое</t>
  </si>
  <si>
    <t>Тефтели мясные с рисом паровые</t>
  </si>
  <si>
    <t>Запеканка из творога с рисом со сгущенным молоком</t>
  </si>
  <si>
    <t>16.4</t>
  </si>
  <si>
    <t>44240</t>
  </si>
  <si>
    <t>Какао на молоке</t>
  </si>
  <si>
    <t>Салат из картофеля с соленым огурцом,луком и растительным маслом</t>
  </si>
  <si>
    <t>41/1</t>
  </si>
  <si>
    <t>22.2</t>
  </si>
  <si>
    <t>Мясо, тушеное с овощами</t>
  </si>
  <si>
    <t>Чай с лимоном</t>
  </si>
  <si>
    <t>29.10</t>
  </si>
  <si>
    <t>Омлет натуральный</t>
  </si>
  <si>
    <t>Чай с сахаром</t>
  </si>
  <si>
    <t>44233</t>
  </si>
  <si>
    <t>27.10</t>
  </si>
  <si>
    <t>Салат из моркови с яблоками и растительным маслом</t>
  </si>
  <si>
    <t>Биточки из говядины паровые</t>
  </si>
  <si>
    <t>17/1</t>
  </si>
  <si>
    <t>44257</t>
  </si>
  <si>
    <t>16.8</t>
  </si>
  <si>
    <t>Каша  молочная рисовая с маслом сливочным</t>
  </si>
  <si>
    <t xml:space="preserve">Компот из кураги </t>
  </si>
  <si>
    <t>16</t>
  </si>
  <si>
    <t>Компот из свежих фруктов</t>
  </si>
  <si>
    <t>44265</t>
  </si>
  <si>
    <t>Каша гречневая рассыпчатая с овощами</t>
  </si>
  <si>
    <t>Салат "Фантазия"</t>
  </si>
  <si>
    <t>13/1,1</t>
  </si>
  <si>
    <t>18.7</t>
  </si>
  <si>
    <t>44258</t>
  </si>
  <si>
    <t>948</t>
  </si>
  <si>
    <t>Чай ягодный</t>
  </si>
  <si>
    <t>Рис припущенный</t>
  </si>
  <si>
    <t>Компот из кураги и изюма</t>
  </si>
  <si>
    <t>305</t>
  </si>
  <si>
    <t>44510</t>
  </si>
  <si>
    <t>44417</t>
  </si>
  <si>
    <t>Салат из отварной свеклы с сыром и растительным маслом</t>
  </si>
  <si>
    <t>40</t>
  </si>
  <si>
    <t xml:space="preserve">Капуста тушеная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</si>
  <si>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Хлеб ржано-пшеничный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</si>
  <si>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44348</t>
  </si>
  <si>
    <t xml:space="preserve">Суп картофельный с крупой и рыбной консервой </t>
  </si>
  <si>
    <t>7-11 лет</t>
  </si>
  <si>
    <t>Борщ из капусты с картофелем, сметаной, мясом и зеленью</t>
  </si>
  <si>
    <t>Жиры</t>
  </si>
  <si>
    <t>37/2</t>
  </si>
  <si>
    <t>36,81</t>
  </si>
  <si>
    <t>29/11</t>
  </si>
  <si>
    <t>20.2</t>
  </si>
  <si>
    <t>36/81</t>
  </si>
  <si>
    <t>Суп картофельный с макаронными изделиями, мясом и зеленью</t>
  </si>
  <si>
    <t>Салат из свежих овощей с маслом растительным</t>
  </si>
  <si>
    <t>Суп картофельный с бобовыми, мясом, зеленью</t>
  </si>
  <si>
    <t>Суп-пюре картофельный с мясом, зеленью</t>
  </si>
  <si>
    <t>Зеленый горошек конс. с растительным маслом</t>
  </si>
  <si>
    <t>Биточки мясные паровые</t>
  </si>
  <si>
    <t>32.1</t>
  </si>
  <si>
    <t>445</t>
  </si>
  <si>
    <t>Салат из помидор с зеленью и растительным маслом</t>
  </si>
  <si>
    <t>20/1</t>
  </si>
  <si>
    <t>Кисель</t>
  </si>
  <si>
    <t>Рассольник с крупой,  сметаной, мясом и зеленью</t>
  </si>
  <si>
    <t>Салат из отварной свеклы с солеными огурцами и растительным маслом</t>
  </si>
  <si>
    <t>Помидор свежий</t>
  </si>
  <si>
    <t>2</t>
  </si>
  <si>
    <t>Салат из белокачанной капусты с морковью, зеленью и растительным маслом</t>
  </si>
  <si>
    <t>Салат из свежей капусты с помидорами и растительным маслом</t>
  </si>
  <si>
    <t>Щи с капустой, картофелем, сметаной, мясом, зеленью</t>
  </si>
  <si>
    <t>Салат из свежих помидор с зеленью и растительным маслом</t>
  </si>
  <si>
    <t>Суп из овощей со сметаной, мясом, зеленью</t>
  </si>
  <si>
    <t>Суп крестьянский с крупой, сметаной, мясом, зеленью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</si>
</sst>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2"/>
      <color rgb="FF2D2D2D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family val="2"/>
      <charset val="204"/>
    </font>
    <font>
      <sz val="10"/>
      <name val="Arial Cyr"/>
      <charset val="204"/>
    </font>
    <font>
      <b/>
      <sz val="12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sz val="12"/>
      <color theme="1"/>
      <name val="Calibri"/>
      <family val="2"/>
      <charset val="204"/>
      <scheme val="minor"/>
    </font>
    <font>
      <b/>
      <sz val="12"/>
      <color rgb="FF4C4C4C"/>
      <name val="Arial"/>
      <family val="2"/>
      <charset val="204"/>
    </font>
    <font>
      <sz val="12"/>
      <color rgb="FF2D2D2D"/>
      <name val="Arial"/>
      <family val="2"/>
      <charset val="204"/>
    </font>
    <font>
      <sz val="12"/>
      <color rgb="FF4C4C4C"/>
      <name val="Arial"/>
      <family val="2"/>
      <charset val="204"/>
    </font>
    <font>
      <i/>
      <sz val="12"/>
      <color theme="1"/>
      <name val="Arial"/>
      <family val="2"/>
      <charset val="204"/>
    </font>
    <font>
      <b/>
      <sz val="12"/>
      <color rgb="FF2D2D2D"/>
      <name val="Arial"/>
      <family val="2"/>
      <charset val="204"/>
    </font>
    <font>
      <sz val="12"/>
      <color rgb="FFFF0000"/>
      <name val="Arial"/>
      <family val="2"/>
      <charset val="204"/>
    </font>
    <font>
      <b/>
      <sz val="12"/>
      <color theme="1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FF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1">
    <xf numFmtId="0" fontId="0" fillId="0" borderId="0"/>
    <xf numFmtId="0" fontId="13" fillId="0" borderId="0"/>
    <xf numFmtId="0" fontId="14" fillId="0" borderId="0"/>
    <xf numFmtId="0" fontId="15" fillId="0" borderId="0"/>
    <xf numFmtId="0" fontId="13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55">
    <xf numFmtId="0" fontId="0" fillId="0" borderId="0" xfId="0"/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2" fontId="9" fillId="0" borderId="0" xfId="0" applyNumberFormat="1" applyFont="1" applyFill="1" applyBorder="1" applyAlignment="1">
      <alignment horizontal="left" vertical="center"/>
    </xf>
    <xf numFmtId="0" fontId="8" fillId="0" borderId="0" xfId="0" applyFont="1" applyBorder="1" applyAlignment="1">
      <alignment horizontal="left" vertical="center" wrapText="1"/>
    </xf>
    <xf numFmtId="49" fontId="9" fillId="0" borderId="0" xfId="0" applyNumberFormat="1" applyFont="1" applyBorder="1" applyAlignment="1">
      <alignment horizontal="left" vertical="center"/>
    </xf>
    <xf numFmtId="2" fontId="9" fillId="3" borderId="1" xfId="0" applyNumberFormat="1" applyFont="1" applyFill="1" applyBorder="1" applyAlignment="1">
      <alignment horizontal="left" vertical="center"/>
    </xf>
    <xf numFmtId="49" fontId="9" fillId="3" borderId="1" xfId="0" applyNumberFormat="1" applyFont="1" applyFill="1" applyBorder="1" applyAlignment="1">
      <alignment horizontal="center" vertical="center"/>
    </xf>
    <xf numFmtId="2" fontId="8" fillId="3" borderId="1" xfId="0" applyNumberFormat="1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left" vertical="center" wrapText="1"/>
    </xf>
    <xf numFmtId="2" fontId="8" fillId="3" borderId="0" xfId="0" applyNumberFormat="1" applyFont="1" applyFill="1" applyAlignment="1">
      <alignment horizontal="left" vertical="center" wrapText="1"/>
    </xf>
    <xf numFmtId="2" fontId="8" fillId="3" borderId="0" xfId="0" applyNumberFormat="1" applyFont="1" applyFill="1" applyBorder="1" applyAlignment="1">
      <alignment horizontal="left" vertical="center" wrapText="1"/>
    </xf>
    <xf numFmtId="2" fontId="9" fillId="3" borderId="0" xfId="0" applyNumberFormat="1" applyFont="1" applyFill="1" applyBorder="1" applyAlignment="1">
      <alignment horizontal="left" vertical="center"/>
    </xf>
    <xf numFmtId="0" fontId="8" fillId="3" borderId="0" xfId="0" applyFont="1" applyFill="1" applyBorder="1" applyAlignment="1">
      <alignment horizontal="left" vertical="center"/>
    </xf>
    <xf numFmtId="0" fontId="8" fillId="3" borderId="0" xfId="0" applyFont="1" applyFill="1" applyBorder="1" applyAlignment="1">
      <alignment horizontal="left" vertical="center" wrapText="1"/>
    </xf>
    <xf numFmtId="49" fontId="9" fillId="3" borderId="0" xfId="0" applyNumberFormat="1" applyFont="1" applyFill="1" applyBorder="1" applyAlignment="1">
      <alignment horizontal="left" vertical="center"/>
    </xf>
    <xf numFmtId="0" fontId="7" fillId="3" borderId="0" xfId="0" applyFont="1" applyFill="1" applyBorder="1" applyAlignment="1">
      <alignment horizontal="left" vertical="center" wrapText="1"/>
    </xf>
    <xf numFmtId="2" fontId="12" fillId="3" borderId="0" xfId="0" applyNumberFormat="1" applyFont="1" applyFill="1" applyBorder="1" applyAlignment="1">
      <alignment horizontal="left" vertical="center"/>
    </xf>
    <xf numFmtId="0" fontId="7" fillId="4" borderId="12" xfId="0" applyFont="1" applyFill="1" applyBorder="1" applyAlignment="1">
      <alignment horizontal="center"/>
    </xf>
    <xf numFmtId="0" fontId="7" fillId="4" borderId="13" xfId="0" applyFont="1" applyFill="1" applyBorder="1" applyAlignment="1">
      <alignment horizontal="center"/>
    </xf>
    <xf numFmtId="0" fontId="7" fillId="4" borderId="16" xfId="0" applyFont="1" applyFill="1" applyBorder="1" applyAlignment="1">
      <alignment horizontal="center"/>
    </xf>
    <xf numFmtId="0" fontId="7" fillId="4" borderId="17" xfId="0" applyFont="1" applyFill="1" applyBorder="1" applyAlignment="1">
      <alignment horizontal="center"/>
    </xf>
    <xf numFmtId="0" fontId="7" fillId="3" borderId="7" xfId="0" applyFont="1" applyFill="1" applyBorder="1" applyAlignment="1">
      <alignment horizontal="left"/>
    </xf>
    <xf numFmtId="0" fontId="7" fillId="3" borderId="8" xfId="0" applyFont="1" applyFill="1" applyBorder="1" applyAlignment="1">
      <alignment horizontal="left"/>
    </xf>
    <xf numFmtId="0" fontId="7" fillId="3" borderId="11" xfId="0" applyFont="1" applyFill="1" applyBorder="1" applyAlignment="1">
      <alignment horizontal="left"/>
    </xf>
    <xf numFmtId="0" fontId="7" fillId="3" borderId="1" xfId="0" applyFont="1" applyFill="1" applyBorder="1" applyAlignment="1">
      <alignment horizontal="left"/>
    </xf>
    <xf numFmtId="0" fontId="7" fillId="3" borderId="1" xfId="0" applyFont="1" applyFill="1" applyBorder="1" applyAlignment="1" applyProtection="1">
      <alignment horizontal="left"/>
      <protection locked="0"/>
    </xf>
    <xf numFmtId="0" fontId="7" fillId="4" borderId="2" xfId="0" applyFont="1" applyFill="1" applyBorder="1" applyAlignment="1">
      <alignment horizontal="left"/>
    </xf>
    <xf numFmtId="0" fontId="10" fillId="4" borderId="1" xfId="0" applyFont="1" applyFill="1" applyBorder="1" applyAlignment="1" applyProtection="1">
      <alignment horizontal="left"/>
      <protection locked="0"/>
    </xf>
    <xf numFmtId="0" fontId="7" fillId="3" borderId="15" xfId="0" applyFont="1" applyFill="1" applyBorder="1" applyAlignment="1">
      <alignment horizontal="left"/>
    </xf>
    <xf numFmtId="0" fontId="7" fillId="4" borderId="2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49" fontId="9" fillId="3" borderId="0" xfId="0" applyNumberFormat="1" applyFont="1" applyFill="1" applyBorder="1" applyAlignment="1">
      <alignment horizontal="center" vertical="center"/>
    </xf>
    <xf numFmtId="0" fontId="8" fillId="3" borderId="0" xfId="2" applyFont="1" applyFill="1" applyAlignment="1">
      <alignment horizontal="left" vertical="center" wrapText="1"/>
    </xf>
    <xf numFmtId="0" fontId="7" fillId="3" borderId="9" xfId="0" applyFont="1" applyFill="1" applyBorder="1" applyAlignment="1">
      <alignment horizontal="center"/>
    </xf>
    <xf numFmtId="0" fontId="7" fillId="3" borderId="10" xfId="0" applyFont="1" applyFill="1" applyBorder="1" applyAlignment="1">
      <alignment horizontal="center"/>
    </xf>
    <xf numFmtId="0" fontId="8" fillId="3" borderId="1" xfId="2" applyFont="1" applyFill="1" applyBorder="1" applyAlignment="1">
      <alignment horizontal="left" vertical="center" wrapText="1"/>
    </xf>
    <xf numFmtId="2" fontId="8" fillId="3" borderId="1" xfId="2" applyNumberFormat="1" applyFont="1" applyFill="1" applyBorder="1" applyAlignment="1">
      <alignment horizontal="left" vertical="center" wrapText="1"/>
    </xf>
    <xf numFmtId="49" fontId="16" fillId="3" borderId="22" xfId="0" applyNumberFormat="1" applyFont="1" applyFill="1" applyBorder="1" applyAlignment="1" applyProtection="1">
      <alignment horizontal="center" vertical="center" wrapText="1"/>
      <protection locked="0"/>
    </xf>
    <xf numFmtId="49" fontId="16" fillId="3" borderId="21" xfId="0" applyNumberFormat="1" applyFont="1" applyFill="1" applyBorder="1" applyAlignment="1" applyProtection="1">
      <alignment horizontal="center" vertical="center" wrapText="1"/>
      <protection locked="0"/>
    </xf>
    <xf numFmtId="0" fontId="17" fillId="0" borderId="0" xfId="0" applyFont="1" applyAlignment="1">
      <alignment horizontal="left"/>
    </xf>
    <xf numFmtId="0" fontId="17" fillId="0" borderId="0" xfId="0" applyFont="1"/>
    <xf numFmtId="0" fontId="17" fillId="0" borderId="0" xfId="0" applyFont="1" applyAlignment="1">
      <alignment horizontal="right"/>
    </xf>
    <xf numFmtId="0" fontId="20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1" fontId="17" fillId="2" borderId="2" xfId="0" applyNumberFormat="1" applyFont="1" applyFill="1" applyBorder="1" applyAlignment="1" applyProtection="1">
      <alignment horizontal="center"/>
      <protection locked="0"/>
    </xf>
    <xf numFmtId="1" fontId="17" fillId="2" borderId="1" xfId="0" applyNumberFormat="1" applyFont="1" applyFill="1" applyBorder="1" applyAlignment="1" applyProtection="1">
      <alignment horizontal="center"/>
      <protection locked="0"/>
    </xf>
    <xf numFmtId="0" fontId="22" fillId="0" borderId="0" xfId="0" applyFont="1" applyAlignment="1">
      <alignment horizontal="center" vertical="top"/>
    </xf>
    <xf numFmtId="0" fontId="16" fillId="0" borderId="3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49" fontId="23" fillId="0" borderId="20" xfId="0" applyNumberFormat="1" applyFont="1" applyBorder="1" applyAlignment="1">
      <alignment horizontal="center" vertical="center" wrapText="1"/>
    </xf>
    <xf numFmtId="0" fontId="17" fillId="3" borderId="0" xfId="0" applyFont="1" applyFill="1"/>
    <xf numFmtId="0" fontId="17" fillId="3" borderId="1" xfId="0" applyFont="1" applyFill="1" applyBorder="1" applyAlignment="1" applyProtection="1">
      <alignment horizontal="left" vertical="top" wrapText="1"/>
      <protection locked="0"/>
    </xf>
    <xf numFmtId="0" fontId="16" fillId="3" borderId="1" xfId="0" applyFont="1" applyFill="1" applyBorder="1" applyAlignment="1" applyProtection="1">
      <alignment horizontal="left" vertical="top" wrapText="1"/>
      <protection locked="0"/>
    </xf>
    <xf numFmtId="0" fontId="17" fillId="4" borderId="1" xfId="0" applyFont="1" applyFill="1" applyBorder="1" applyAlignment="1">
      <alignment horizontal="left" vertical="top" wrapText="1"/>
    </xf>
    <xf numFmtId="2" fontId="16" fillId="4" borderId="1" xfId="0" applyNumberFormat="1" applyFont="1" applyFill="1" applyBorder="1" applyAlignment="1">
      <alignment horizontal="left" vertical="top" wrapText="1"/>
    </xf>
    <xf numFmtId="2" fontId="8" fillId="3" borderId="0" xfId="2" applyNumberFormat="1" applyFont="1" applyFill="1" applyAlignment="1">
      <alignment horizontal="left" vertical="center" wrapText="1"/>
    </xf>
    <xf numFmtId="0" fontId="24" fillId="3" borderId="0" xfId="0" applyFont="1" applyFill="1"/>
    <xf numFmtId="0" fontId="17" fillId="4" borderId="17" xfId="0" applyFont="1" applyFill="1" applyBorder="1" applyAlignment="1">
      <alignment horizontal="left" vertical="top" wrapText="1"/>
    </xf>
    <xf numFmtId="2" fontId="16" fillId="3" borderId="1" xfId="0" applyNumberFormat="1" applyFont="1" applyFill="1" applyBorder="1" applyAlignment="1" applyProtection="1">
      <alignment horizontal="left" vertical="top" wrapText="1"/>
      <protection locked="0"/>
    </xf>
    <xf numFmtId="2" fontId="16" fillId="4" borderId="17" xfId="0" applyNumberFormat="1" applyFont="1" applyFill="1" applyBorder="1" applyAlignment="1">
      <alignment horizontal="left" vertical="top" wrapText="1"/>
    </xf>
    <xf numFmtId="0" fontId="7" fillId="3" borderId="1" xfId="0" applyFont="1" applyFill="1" applyBorder="1" applyAlignment="1" applyProtection="1">
      <alignment horizontal="left" vertical="top" wrapText="1"/>
      <protection locked="0"/>
    </xf>
    <xf numFmtId="49" fontId="8" fillId="3" borderId="1" xfId="2" applyNumberFormat="1" applyFont="1" applyFill="1" applyBorder="1" applyAlignment="1">
      <alignment horizontal="left" vertical="center" wrapText="1"/>
    </xf>
    <xf numFmtId="2" fontId="12" fillId="4" borderId="1" xfId="0" applyNumberFormat="1" applyFont="1" applyFill="1" applyBorder="1" applyAlignment="1">
      <alignment horizontal="left" vertical="top" wrapText="1"/>
    </xf>
    <xf numFmtId="0" fontId="17" fillId="4" borderId="16" xfId="0" applyFont="1" applyFill="1" applyBorder="1" applyAlignment="1">
      <alignment horizontal="center"/>
    </xf>
    <xf numFmtId="0" fontId="17" fillId="4" borderId="17" xfId="0" applyFont="1" applyFill="1" applyBorder="1" applyAlignment="1">
      <alignment horizontal="center"/>
    </xf>
    <xf numFmtId="0" fontId="17" fillId="0" borderId="3" xfId="0" applyFont="1" applyBorder="1"/>
    <xf numFmtId="0" fontId="17" fillId="0" borderId="4" xfId="0" applyFont="1" applyBorder="1"/>
    <xf numFmtId="0" fontId="17" fillId="3" borderId="0" xfId="0" applyFont="1" applyFill="1" applyAlignment="1">
      <alignment horizontal="left"/>
    </xf>
    <xf numFmtId="0" fontId="17" fillId="3" borderId="0" xfId="0" applyFont="1" applyFill="1" applyBorder="1"/>
    <xf numFmtId="2" fontId="16" fillId="3" borderId="0" xfId="0" applyNumberFormat="1" applyFont="1" applyFill="1" applyBorder="1" applyAlignment="1" applyProtection="1">
      <alignment horizontal="center" vertical="top" wrapText="1"/>
      <protection locked="0"/>
    </xf>
    <xf numFmtId="0" fontId="17" fillId="0" borderId="0" xfId="0" applyFont="1" applyBorder="1"/>
    <xf numFmtId="49" fontId="17" fillId="0" borderId="0" xfId="0" applyNumberFormat="1" applyFont="1" applyFill="1" applyBorder="1" applyAlignment="1" applyProtection="1">
      <alignment horizontal="left" vertical="center"/>
    </xf>
    <xf numFmtId="49" fontId="17" fillId="0" borderId="0" xfId="0" applyNumberFormat="1" applyFont="1" applyAlignment="1">
      <alignment vertical="center"/>
    </xf>
    <xf numFmtId="49" fontId="16" fillId="4" borderId="22" xfId="0" applyNumberFormat="1" applyFont="1" applyFill="1" applyBorder="1" applyAlignment="1">
      <alignment horizontal="center" vertical="center" wrapText="1"/>
    </xf>
    <xf numFmtId="49" fontId="16" fillId="4" borderId="17" xfId="0" applyNumberFormat="1" applyFont="1" applyFill="1" applyBorder="1" applyAlignment="1">
      <alignment horizontal="center" vertical="center" wrapText="1"/>
    </xf>
    <xf numFmtId="49" fontId="12" fillId="3" borderId="22" xfId="0" applyNumberFormat="1" applyFont="1" applyFill="1" applyBorder="1" applyAlignment="1" applyProtection="1">
      <alignment horizontal="center" vertical="center" wrapText="1"/>
      <protection locked="0"/>
    </xf>
    <xf numFmtId="49" fontId="16" fillId="3" borderId="4" xfId="0" applyNumberFormat="1" applyFont="1" applyFill="1" applyBorder="1" applyAlignment="1">
      <alignment horizontal="center" vertical="center"/>
    </xf>
    <xf numFmtId="49" fontId="17" fillId="3" borderId="0" xfId="0" applyNumberFormat="1" applyFont="1" applyFill="1" applyAlignment="1">
      <alignment vertical="center"/>
    </xf>
    <xf numFmtId="49" fontId="17" fillId="3" borderId="0" xfId="0" applyNumberFormat="1" applyFont="1" applyFill="1" applyBorder="1" applyAlignment="1">
      <alignment vertical="center"/>
    </xf>
    <xf numFmtId="49" fontId="16" fillId="3" borderId="0" xfId="0" applyNumberFormat="1" applyFont="1" applyFill="1" applyBorder="1" applyAlignment="1" applyProtection="1">
      <alignment horizontal="center" vertical="center" wrapText="1"/>
      <protection locked="0"/>
    </xf>
    <xf numFmtId="49" fontId="17" fillId="0" borderId="0" xfId="0" applyNumberFormat="1" applyFont="1" applyBorder="1" applyAlignment="1">
      <alignment vertical="center"/>
    </xf>
    <xf numFmtId="0" fontId="17" fillId="2" borderId="1" xfId="0" applyFont="1" applyFill="1" applyBorder="1" applyAlignment="1" applyProtection="1">
      <alignment horizontal="left" wrapText="1"/>
      <protection locked="0"/>
    </xf>
    <xf numFmtId="0" fontId="17" fillId="0" borderId="0" xfId="0" applyFont="1" applyAlignment="1">
      <alignment horizontal="left" wrapText="1"/>
    </xf>
    <xf numFmtId="0" fontId="23" fillId="0" borderId="4" xfId="0" applyFont="1" applyBorder="1" applyAlignment="1">
      <alignment horizontal="left" vertical="center" wrapText="1"/>
    </xf>
    <xf numFmtId="0" fontId="17" fillId="3" borderId="0" xfId="0" applyFont="1" applyFill="1" applyAlignment="1">
      <alignment horizontal="left" wrapText="1"/>
    </xf>
    <xf numFmtId="0" fontId="17" fillId="3" borderId="0" xfId="0" applyFont="1" applyFill="1" applyBorder="1" applyAlignment="1">
      <alignment horizontal="left" wrapText="1"/>
    </xf>
    <xf numFmtId="0" fontId="7" fillId="3" borderId="0" xfId="0" applyFont="1" applyFill="1" applyBorder="1" applyAlignment="1">
      <alignment horizontal="left" wrapText="1"/>
    </xf>
    <xf numFmtId="0" fontId="7" fillId="3" borderId="0" xfId="0" applyFont="1" applyFill="1" applyBorder="1" applyAlignment="1" applyProtection="1">
      <alignment horizontal="left" wrapText="1"/>
      <protection locked="0"/>
    </xf>
    <xf numFmtId="0" fontId="17" fillId="0" borderId="0" xfId="0" applyFont="1" applyBorder="1" applyAlignment="1">
      <alignment horizontal="left" wrapText="1"/>
    </xf>
    <xf numFmtId="2" fontId="16" fillId="3" borderId="4" xfId="0" applyNumberFormat="1" applyFont="1" applyFill="1" applyBorder="1" applyAlignment="1">
      <alignment horizontal="left"/>
    </xf>
    <xf numFmtId="0" fontId="7" fillId="6" borderId="12" xfId="0" applyFont="1" applyFill="1" applyBorder="1" applyAlignment="1">
      <alignment horizontal="center"/>
    </xf>
    <xf numFmtId="0" fontId="7" fillId="6" borderId="13" xfId="0" applyFont="1" applyFill="1" applyBorder="1" applyAlignment="1">
      <alignment horizontal="center"/>
    </xf>
    <xf numFmtId="0" fontId="7" fillId="6" borderId="2" xfId="0" applyFont="1" applyFill="1" applyBorder="1" applyAlignment="1">
      <alignment horizontal="left"/>
    </xf>
    <xf numFmtId="0" fontId="10" fillId="6" borderId="1" xfId="0" applyFont="1" applyFill="1" applyBorder="1" applyAlignment="1" applyProtection="1">
      <alignment horizontal="left"/>
      <protection locked="0"/>
    </xf>
    <xf numFmtId="0" fontId="17" fillId="6" borderId="1" xfId="0" applyFont="1" applyFill="1" applyBorder="1" applyAlignment="1">
      <alignment horizontal="left" vertical="top" wrapText="1"/>
    </xf>
    <xf numFmtId="2" fontId="16" fillId="6" borderId="1" xfId="0" applyNumberFormat="1" applyFont="1" applyFill="1" applyBorder="1" applyAlignment="1">
      <alignment horizontal="left" vertical="top" wrapText="1"/>
    </xf>
    <xf numFmtId="49" fontId="16" fillId="6" borderId="22" xfId="0" applyNumberFormat="1" applyFont="1" applyFill="1" applyBorder="1" applyAlignment="1">
      <alignment horizontal="center" vertical="center" wrapText="1"/>
    </xf>
    <xf numFmtId="2" fontId="8" fillId="3" borderId="1" xfId="0" applyNumberFormat="1" applyFont="1" applyFill="1" applyBorder="1" applyAlignment="1" applyProtection="1">
      <alignment horizontal="left" vertical="center"/>
      <protection locked="0"/>
    </xf>
    <xf numFmtId="2" fontId="8" fillId="3" borderId="1" xfId="2" applyNumberFormat="1" applyFont="1" applyFill="1" applyBorder="1" applyAlignment="1">
      <alignment horizontal="left" vertical="center"/>
    </xf>
    <xf numFmtId="49" fontId="17" fillId="3" borderId="21" xfId="0" applyNumberFormat="1" applyFont="1" applyFill="1" applyBorder="1" applyAlignment="1" applyProtection="1">
      <alignment horizontal="center" vertical="center" wrapText="1"/>
      <protection locked="0"/>
    </xf>
    <xf numFmtId="2" fontId="8" fillId="3" borderId="1" xfId="0" applyNumberFormat="1" applyFont="1" applyFill="1" applyBorder="1" applyAlignment="1">
      <alignment horizontal="left" vertical="center"/>
    </xf>
    <xf numFmtId="49" fontId="17" fillId="3" borderId="22" xfId="0" applyNumberFormat="1" applyFont="1" applyFill="1" applyBorder="1" applyAlignment="1" applyProtection="1">
      <alignment horizontal="center" vertical="center" wrapText="1"/>
      <protection locked="0"/>
    </xf>
    <xf numFmtId="49" fontId="8" fillId="3" borderId="1" xfId="2" applyNumberFormat="1" applyFont="1" applyFill="1" applyBorder="1" applyAlignment="1">
      <alignment horizontal="center" vertical="center"/>
    </xf>
    <xf numFmtId="49" fontId="8" fillId="3" borderId="1" xfId="0" applyNumberFormat="1" applyFont="1" applyFill="1" applyBorder="1" applyAlignment="1">
      <alignment horizontal="center" vertical="center"/>
    </xf>
    <xf numFmtId="2" fontId="17" fillId="3" borderId="1" xfId="0" applyNumberFormat="1" applyFont="1" applyFill="1" applyBorder="1" applyAlignment="1" applyProtection="1">
      <alignment horizontal="left" vertical="top" wrapText="1"/>
      <protection locked="0"/>
    </xf>
    <xf numFmtId="49" fontId="8" fillId="3" borderId="23" xfId="0" applyNumberFormat="1" applyFont="1" applyFill="1" applyBorder="1" applyAlignment="1">
      <alignment horizontal="center" vertical="center"/>
    </xf>
    <xf numFmtId="2" fontId="7" fillId="3" borderId="1" xfId="0" applyNumberFormat="1" applyFont="1" applyFill="1" applyBorder="1" applyAlignment="1" applyProtection="1">
      <alignment horizontal="left" vertical="center" wrapText="1"/>
      <protection locked="0"/>
    </xf>
    <xf numFmtId="49" fontId="7" fillId="3" borderId="22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26" xfId="1" applyFont="1" applyFill="1" applyBorder="1" applyAlignment="1">
      <alignment vertical="center" wrapText="1"/>
    </xf>
    <xf numFmtId="2" fontId="7" fillId="0" borderId="26" xfId="1" applyNumberFormat="1" applyFont="1" applyFill="1" applyBorder="1" applyAlignment="1">
      <alignment horizontal="left" vertical="center"/>
    </xf>
    <xf numFmtId="49" fontId="7" fillId="0" borderId="26" xfId="0" applyNumberFormat="1" applyFont="1" applyFill="1" applyBorder="1" applyAlignment="1">
      <alignment horizontal="left" vertical="center"/>
    </xf>
    <xf numFmtId="2" fontId="7" fillId="0" borderId="26" xfId="1" applyNumberFormat="1" applyFont="1" applyFill="1" applyBorder="1" applyAlignment="1">
      <alignment vertical="center" wrapText="1"/>
    </xf>
    <xf numFmtId="2" fontId="7" fillId="3" borderId="1" xfId="0" applyNumberFormat="1" applyFont="1" applyFill="1" applyBorder="1" applyAlignment="1" applyProtection="1">
      <alignment horizontal="left" vertical="top" wrapText="1"/>
      <protection locked="0"/>
    </xf>
    <xf numFmtId="2" fontId="17" fillId="0" borderId="0" xfId="0" applyNumberFormat="1" applyFont="1" applyAlignment="1">
      <alignment vertical="center"/>
    </xf>
    <xf numFmtId="2" fontId="23" fillId="0" borderId="4" xfId="0" applyNumberFormat="1" applyFont="1" applyBorder="1" applyAlignment="1">
      <alignment horizontal="center" vertical="center" wrapText="1"/>
    </xf>
    <xf numFmtId="2" fontId="16" fillId="5" borderId="8" xfId="0" applyNumberFormat="1" applyFont="1" applyFill="1" applyBorder="1" applyAlignment="1" applyProtection="1">
      <alignment horizontal="center" vertical="center" wrapText="1"/>
      <protection locked="0"/>
    </xf>
    <xf numFmtId="2" fontId="16" fillId="5" borderId="1" xfId="0" applyNumberFormat="1" applyFont="1" applyFill="1" applyBorder="1" applyAlignment="1" applyProtection="1">
      <alignment horizontal="center" vertical="center" wrapText="1"/>
      <protection locked="0"/>
    </xf>
    <xf numFmtId="2" fontId="16" fillId="4" borderId="1" xfId="0" applyNumberFormat="1" applyFont="1" applyFill="1" applyBorder="1" applyAlignment="1">
      <alignment horizontal="center" vertical="center" wrapText="1"/>
    </xf>
    <xf numFmtId="2" fontId="16" fillId="4" borderId="17" xfId="0" applyNumberFormat="1" applyFont="1" applyFill="1" applyBorder="1" applyAlignment="1">
      <alignment horizontal="center" vertical="center" wrapText="1"/>
    </xf>
    <xf numFmtId="2" fontId="12" fillId="5" borderId="1" xfId="0" applyNumberFormat="1" applyFont="1" applyFill="1" applyBorder="1" applyAlignment="1" applyProtection="1">
      <alignment horizontal="center" vertical="center" wrapText="1"/>
      <protection locked="0"/>
    </xf>
    <xf numFmtId="2" fontId="16" fillId="5" borderId="21" xfId="0" applyNumberFormat="1" applyFont="1" applyFill="1" applyBorder="1" applyAlignment="1" applyProtection="1">
      <alignment horizontal="center" vertical="center" wrapText="1"/>
      <protection locked="0"/>
    </xf>
    <xf numFmtId="2" fontId="16" fillId="5" borderId="22" xfId="0" applyNumberFormat="1" applyFont="1" applyFill="1" applyBorder="1" applyAlignment="1" applyProtection="1">
      <alignment horizontal="center" vertical="center" wrapText="1"/>
      <protection locked="0"/>
    </xf>
    <xf numFmtId="2" fontId="9" fillId="5" borderId="1" xfId="0" applyNumberFormat="1" applyFont="1" applyFill="1" applyBorder="1" applyAlignment="1">
      <alignment horizontal="center" vertical="center"/>
    </xf>
    <xf numFmtId="2" fontId="16" fillId="6" borderId="1" xfId="0" applyNumberFormat="1" applyFont="1" applyFill="1" applyBorder="1" applyAlignment="1">
      <alignment horizontal="center" vertical="center" wrapText="1"/>
    </xf>
    <xf numFmtId="2" fontId="16" fillId="3" borderId="4" xfId="0" applyNumberFormat="1" applyFont="1" applyFill="1" applyBorder="1" applyAlignment="1">
      <alignment horizontal="center" vertical="center"/>
    </xf>
    <xf numFmtId="2" fontId="17" fillId="3" borderId="0" xfId="0" applyNumberFormat="1" applyFont="1" applyFill="1" applyAlignment="1">
      <alignment vertical="center"/>
    </xf>
    <xf numFmtId="2" fontId="17" fillId="3" borderId="0" xfId="0" applyNumberFormat="1" applyFont="1" applyFill="1" applyBorder="1" applyAlignment="1">
      <alignment vertical="center"/>
    </xf>
    <xf numFmtId="2" fontId="16" fillId="3" borderId="0" xfId="0" applyNumberFormat="1" applyFont="1" applyFill="1" applyBorder="1" applyAlignment="1" applyProtection="1">
      <alignment horizontal="center" vertical="center" wrapText="1"/>
      <protection locked="0"/>
    </xf>
    <xf numFmtId="2" fontId="17" fillId="0" borderId="0" xfId="0" applyNumberFormat="1" applyFont="1" applyBorder="1" applyAlignment="1">
      <alignment vertical="center"/>
    </xf>
    <xf numFmtId="2" fontId="8" fillId="0" borderId="1" xfId="4" applyNumberFormat="1" applyFont="1" applyFill="1" applyBorder="1" applyAlignment="1">
      <alignment horizontal="left" vertical="center"/>
    </xf>
    <xf numFmtId="2" fontId="8" fillId="0" borderId="1" xfId="4" applyNumberFormat="1" applyFont="1" applyFill="1" applyBorder="1" applyAlignment="1">
      <alignment horizontal="left" vertical="center" wrapText="1"/>
    </xf>
    <xf numFmtId="2" fontId="9" fillId="0" borderId="8" xfId="4" applyNumberFormat="1" applyFont="1" applyFill="1" applyBorder="1" applyAlignment="1">
      <alignment horizontal="center" vertical="center"/>
    </xf>
    <xf numFmtId="2" fontId="9" fillId="0" borderId="1" xfId="4" applyNumberFormat="1" applyFont="1" applyBorder="1" applyAlignment="1">
      <alignment horizontal="center" vertical="center"/>
    </xf>
    <xf numFmtId="2" fontId="9" fillId="0" borderId="1" xfId="10" applyNumberFormat="1" applyFont="1" applyFill="1" applyBorder="1" applyAlignment="1">
      <alignment horizontal="center" vertical="center"/>
    </xf>
    <xf numFmtId="2" fontId="8" fillId="7" borderId="1" xfId="4" applyNumberFormat="1" applyFont="1" applyFill="1" applyBorder="1" applyAlignment="1">
      <alignment horizontal="left" vertical="center"/>
    </xf>
    <xf numFmtId="0" fontId="17" fillId="2" borderId="1" xfId="0" applyFont="1" applyFill="1" applyBorder="1" applyAlignment="1" applyProtection="1">
      <alignment wrapText="1"/>
      <protection locked="0"/>
    </xf>
    <xf numFmtId="0" fontId="18" fillId="0" borderId="1" xfId="0" applyFont="1" applyBorder="1" applyAlignment="1" applyProtection="1">
      <alignment wrapText="1"/>
      <protection locked="0"/>
    </xf>
    <xf numFmtId="0" fontId="17" fillId="2" borderId="24" xfId="0" applyFont="1" applyFill="1" applyBorder="1" applyAlignment="1" applyProtection="1">
      <alignment horizontal="left" wrapText="1"/>
      <protection locked="0"/>
    </xf>
    <xf numFmtId="0" fontId="17" fillId="2" borderId="23" xfId="0" applyFont="1" applyFill="1" applyBorder="1" applyAlignment="1" applyProtection="1">
      <alignment horizontal="left" wrapText="1"/>
      <protection locked="0"/>
    </xf>
    <xf numFmtId="0" fontId="17" fillId="2" borderId="25" xfId="0" applyFont="1" applyFill="1" applyBorder="1" applyAlignment="1" applyProtection="1">
      <alignment horizontal="left" wrapText="1"/>
      <protection locked="0"/>
    </xf>
    <xf numFmtId="0" fontId="17" fillId="2" borderId="1" xfId="0" applyFont="1" applyFill="1" applyBorder="1" applyAlignment="1" applyProtection="1">
      <alignment horizontal="left" wrapText="1"/>
      <protection locked="0"/>
    </xf>
    <xf numFmtId="0" fontId="11" fillId="4" borderId="18" xfId="0" applyFont="1" applyFill="1" applyBorder="1" applyAlignment="1">
      <alignment horizontal="left" vertical="center" wrapText="1"/>
    </xf>
    <xf numFmtId="0" fontId="12" fillId="4" borderId="19" xfId="0" applyFont="1" applyFill="1" applyBorder="1" applyAlignment="1">
      <alignment horizontal="left" vertical="center" wrapText="1"/>
    </xf>
    <xf numFmtId="0" fontId="19" fillId="0" borderId="0" xfId="0" applyFont="1" applyAlignment="1">
      <alignment horizontal="left" vertical="center"/>
    </xf>
    <xf numFmtId="0" fontId="18" fillId="0" borderId="0" xfId="0" applyFont="1" applyAlignment="1"/>
    <xf numFmtId="0" fontId="23" fillId="4" borderId="18" xfId="0" applyFont="1" applyFill="1" applyBorder="1" applyAlignment="1">
      <alignment horizontal="left" vertical="center" wrapText="1"/>
    </xf>
    <xf numFmtId="0" fontId="25" fillId="4" borderId="19" xfId="0" applyFont="1" applyFill="1" applyBorder="1" applyAlignment="1">
      <alignment horizontal="left" vertical="center" wrapText="1"/>
    </xf>
    <xf numFmtId="0" fontId="23" fillId="3" borderId="4" xfId="0" applyFont="1" applyFill="1" applyBorder="1" applyAlignment="1">
      <alignment horizontal="center" vertical="center" wrapText="1"/>
    </xf>
  </cellXfs>
  <cellStyles count="11">
    <cellStyle name="Обычный" xfId="0" builtinId="0"/>
    <cellStyle name="Обычный 2" xfId="1"/>
    <cellStyle name="Обычный 2 2" xfId="3"/>
    <cellStyle name="Обычный 3" xfId="4"/>
    <cellStyle name="Обычный 3 2" xfId="5"/>
    <cellStyle name="Обычный 3 3" xfId="6"/>
    <cellStyle name="Обычный 3 4" xfId="7"/>
    <cellStyle name="Обычный 3 5" xfId="8"/>
    <cellStyle name="Обычный 3 6" xfId="9"/>
    <cellStyle name="Обычный 4" xfId="2"/>
    <cellStyle name="Обычный 5 2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14"/>
  <sheetViews>
    <sheetView tabSelected="1" zoomScale="70" zoomScaleNormal="70" workbookViewId="0">
      <selection activeCell="E183" sqref="E183"/>
    </sheetView>
  </sheetViews>
  <sheetFormatPr defaultColWidth="4.7109375" defaultRowHeight="15"/>
  <cols>
    <col min="1" max="1" width="5.140625" style="46" customWidth="1"/>
    <col min="2" max="2" width="6.140625" style="46" customWidth="1"/>
    <col min="3" max="3" width="8.85546875" style="45" customWidth="1"/>
    <col min="4" max="4" width="15.42578125" style="45" customWidth="1"/>
    <col min="5" max="5" width="30.140625" style="89" customWidth="1"/>
    <col min="6" max="6" width="13.42578125" style="46" customWidth="1"/>
    <col min="7" max="7" width="8.5703125" style="46" customWidth="1"/>
    <col min="8" max="8" width="11.140625" style="46" customWidth="1"/>
    <col min="9" max="9" width="9.85546875" style="46" customWidth="1"/>
    <col min="10" max="10" width="11.7109375" style="46" customWidth="1"/>
    <col min="11" max="11" width="8.7109375" style="79" customWidth="1"/>
    <col min="12" max="12" width="12.140625" style="120" customWidth="1"/>
    <col min="13" max="16384" width="4.7109375" style="46"/>
  </cols>
  <sheetData>
    <row r="1" spans="1:14" ht="15.75">
      <c r="A1" s="45" t="s">
        <v>0</v>
      </c>
      <c r="C1" s="142"/>
      <c r="D1" s="143"/>
      <c r="E1" s="143"/>
      <c r="F1" s="47" t="s">
        <v>1</v>
      </c>
      <c r="G1" s="46" t="s">
        <v>2</v>
      </c>
      <c r="H1" s="144" t="s">
        <v>84</v>
      </c>
      <c r="I1" s="145"/>
      <c r="J1" s="145"/>
      <c r="K1" s="146"/>
    </row>
    <row r="2" spans="1:14" ht="16.5">
      <c r="A2" s="150" t="s">
        <v>3</v>
      </c>
      <c r="B2" s="151"/>
      <c r="C2" s="151"/>
      <c r="D2" s="151"/>
      <c r="E2" s="151"/>
      <c r="F2" s="151"/>
      <c r="G2" s="46" t="s">
        <v>4</v>
      </c>
      <c r="H2" s="147" t="s">
        <v>85</v>
      </c>
      <c r="I2" s="147"/>
      <c r="J2" s="147"/>
      <c r="K2" s="147"/>
    </row>
    <row r="3" spans="1:14">
      <c r="A3" s="48" t="s">
        <v>5</v>
      </c>
      <c r="C3" s="46"/>
      <c r="D3" s="49"/>
      <c r="E3" s="88" t="s">
        <v>131</v>
      </c>
      <c r="G3" s="46" t="s">
        <v>6</v>
      </c>
      <c r="H3" s="50">
        <v>1</v>
      </c>
      <c r="I3" s="50">
        <v>3</v>
      </c>
      <c r="J3" s="51">
        <v>2026</v>
      </c>
      <c r="K3" s="78"/>
    </row>
    <row r="4" spans="1:14" ht="15.75" thickBot="1">
      <c r="C4" s="46"/>
      <c r="D4" s="48"/>
      <c r="H4" s="52" t="s">
        <v>7</v>
      </c>
      <c r="I4" s="52" t="s">
        <v>8</v>
      </c>
      <c r="J4" s="52" t="s">
        <v>9</v>
      </c>
    </row>
    <row r="5" spans="1:14" ht="63.75" thickBot="1">
      <c r="A5" s="53" t="s">
        <v>10</v>
      </c>
      <c r="B5" s="54" t="s">
        <v>11</v>
      </c>
      <c r="C5" s="55" t="s">
        <v>12</v>
      </c>
      <c r="D5" s="55" t="s">
        <v>13</v>
      </c>
      <c r="E5" s="90" t="s">
        <v>14</v>
      </c>
      <c r="F5" s="55" t="s">
        <v>15</v>
      </c>
      <c r="G5" s="55" t="s">
        <v>16</v>
      </c>
      <c r="H5" s="55" t="s">
        <v>133</v>
      </c>
      <c r="I5" s="55" t="s">
        <v>17</v>
      </c>
      <c r="J5" s="55" t="s">
        <v>18</v>
      </c>
      <c r="K5" s="56" t="s">
        <v>19</v>
      </c>
      <c r="L5" s="121" t="s">
        <v>20</v>
      </c>
    </row>
    <row r="6" spans="1:14" ht="31.5">
      <c r="A6" s="1">
        <v>1</v>
      </c>
      <c r="B6" s="2">
        <v>1</v>
      </c>
      <c r="C6" s="27" t="s">
        <v>21</v>
      </c>
      <c r="D6" s="28" t="s">
        <v>22</v>
      </c>
      <c r="E6" s="42" t="s">
        <v>56</v>
      </c>
      <c r="F6" s="104">
        <v>200</v>
      </c>
      <c r="G6" s="105">
        <f>F6*7.5/200</f>
        <v>7.5</v>
      </c>
      <c r="H6" s="105">
        <f>F6*11.4/200</f>
        <v>11.4</v>
      </c>
      <c r="I6" s="105">
        <f>31.3*F6/200</f>
        <v>31.3</v>
      </c>
      <c r="J6" s="105">
        <f>257.8*F6/200</f>
        <v>257.8</v>
      </c>
      <c r="K6" s="106" t="s">
        <v>90</v>
      </c>
      <c r="L6" s="122">
        <v>32.950000000000003</v>
      </c>
      <c r="M6" s="57"/>
    </row>
    <row r="7" spans="1:14" ht="15.75">
      <c r="A7" s="3"/>
      <c r="B7" s="4"/>
      <c r="C7" s="29"/>
      <c r="D7" s="31" t="s">
        <v>58</v>
      </c>
      <c r="E7" s="42" t="s">
        <v>76</v>
      </c>
      <c r="F7" s="107">
        <v>100</v>
      </c>
      <c r="G7" s="107">
        <v>0.4</v>
      </c>
      <c r="H7" s="107">
        <v>0.4</v>
      </c>
      <c r="I7" s="107">
        <v>10.95</v>
      </c>
      <c r="J7" s="107">
        <v>49</v>
      </c>
      <c r="K7" s="108" t="s">
        <v>25</v>
      </c>
      <c r="L7" s="123">
        <v>33.049999999999997</v>
      </c>
      <c r="M7" s="57"/>
    </row>
    <row r="8" spans="1:14" ht="31.5">
      <c r="A8" s="3"/>
      <c r="B8" s="4"/>
      <c r="C8" s="29"/>
      <c r="D8" s="30" t="s">
        <v>23</v>
      </c>
      <c r="E8" s="42" t="s">
        <v>24</v>
      </c>
      <c r="F8" s="104">
        <v>200</v>
      </c>
      <c r="G8" s="104">
        <f>3.1*F8/200</f>
        <v>3.1</v>
      </c>
      <c r="H8" s="104">
        <f>3.2*F8/200</f>
        <v>3.2</v>
      </c>
      <c r="I8" s="104">
        <f>14.4*F8/200</f>
        <v>14.4</v>
      </c>
      <c r="J8" s="104">
        <f>99*F8/200</f>
        <v>99</v>
      </c>
      <c r="K8" s="108" t="s">
        <v>57</v>
      </c>
      <c r="L8" s="123">
        <v>21.99</v>
      </c>
      <c r="M8" s="57"/>
    </row>
    <row r="9" spans="1:14" ht="15.75">
      <c r="A9" s="3"/>
      <c r="B9" s="4"/>
      <c r="C9" s="29"/>
      <c r="D9" s="30" t="s">
        <v>35</v>
      </c>
      <c r="E9" s="42" t="s">
        <v>26</v>
      </c>
      <c r="F9" s="104">
        <v>50</v>
      </c>
      <c r="G9" s="104">
        <f>F9*6.1/50</f>
        <v>6.1</v>
      </c>
      <c r="H9" s="104">
        <f>F9*3.7/50</f>
        <v>3.7</v>
      </c>
      <c r="I9" s="104">
        <f>F9*17.5/50</f>
        <v>17.5</v>
      </c>
      <c r="J9" s="104">
        <f>F9*127.7/50</f>
        <v>127.7</v>
      </c>
      <c r="K9" s="108" t="s">
        <v>91</v>
      </c>
      <c r="L9" s="123">
        <v>34.090000000000003</v>
      </c>
      <c r="M9" s="57"/>
    </row>
    <row r="10" spans="1:14" ht="15.75">
      <c r="A10" s="3"/>
      <c r="B10" s="4"/>
      <c r="C10" s="29"/>
      <c r="D10" s="30" t="s">
        <v>37</v>
      </c>
      <c r="E10" s="13" t="s">
        <v>128</v>
      </c>
      <c r="F10" s="107">
        <v>30</v>
      </c>
      <c r="G10" s="107">
        <f>1.68*F10/30</f>
        <v>1.68</v>
      </c>
      <c r="H10" s="107">
        <f>0.33*F10/30</f>
        <v>0.33</v>
      </c>
      <c r="I10" s="107">
        <f>14.82*F10/30</f>
        <v>14.82</v>
      </c>
      <c r="J10" s="107">
        <f>68.97*F10/30</f>
        <v>68.97</v>
      </c>
      <c r="K10" s="108" t="s">
        <v>25</v>
      </c>
      <c r="L10" s="123">
        <v>2.95</v>
      </c>
      <c r="M10" s="57"/>
    </row>
    <row r="11" spans="1:14" ht="15.75">
      <c r="A11" s="3"/>
      <c r="B11" s="4"/>
      <c r="C11" s="29"/>
      <c r="D11" s="31"/>
      <c r="E11" s="58"/>
      <c r="F11" s="59"/>
      <c r="G11" s="59"/>
      <c r="H11" s="59"/>
      <c r="I11" s="59"/>
      <c r="J11" s="59"/>
      <c r="K11" s="43"/>
      <c r="L11" s="123"/>
      <c r="M11" s="57"/>
    </row>
    <row r="12" spans="1:14" ht="15.75">
      <c r="A12" s="23"/>
      <c r="B12" s="24"/>
      <c r="C12" s="32"/>
      <c r="D12" s="33" t="s">
        <v>27</v>
      </c>
      <c r="E12" s="60"/>
      <c r="F12" s="61">
        <f>SUM(F6:F11)</f>
        <v>580</v>
      </c>
      <c r="G12" s="61">
        <f>SUM(G6:G11)</f>
        <v>18.78</v>
      </c>
      <c r="H12" s="61">
        <f>SUM(H6:H11)</f>
        <v>19.029999999999998</v>
      </c>
      <c r="I12" s="61">
        <f>SUM(I6:I11)</f>
        <v>88.97</v>
      </c>
      <c r="J12" s="61">
        <f>SUM(J6:J11)</f>
        <v>602.47</v>
      </c>
      <c r="K12" s="80"/>
      <c r="L12" s="124">
        <f>SUM(L6:L11)+0.01</f>
        <v>125.04</v>
      </c>
      <c r="M12" s="57"/>
    </row>
    <row r="13" spans="1:14" ht="31.5">
      <c r="A13" s="5">
        <f>A6</f>
        <v>1</v>
      </c>
      <c r="B13" s="6">
        <f>B6</f>
        <v>1</v>
      </c>
      <c r="C13" s="34" t="s">
        <v>28</v>
      </c>
      <c r="D13" s="30" t="s">
        <v>29</v>
      </c>
      <c r="E13" s="62" t="s">
        <v>140</v>
      </c>
      <c r="F13" s="107">
        <v>60</v>
      </c>
      <c r="G13" s="107">
        <f>F13*0.6/60</f>
        <v>0.6</v>
      </c>
      <c r="H13" s="107">
        <f>F13*6/60</f>
        <v>6</v>
      </c>
      <c r="I13" s="107">
        <f>F13*4.74/60</f>
        <v>4.74</v>
      </c>
      <c r="J13" s="107">
        <f>F13*75.44/60</f>
        <v>75.44</v>
      </c>
      <c r="K13" s="109" t="s">
        <v>77</v>
      </c>
      <c r="L13" s="123">
        <v>15.11</v>
      </c>
      <c r="M13" s="57"/>
    </row>
    <row r="14" spans="1:14" ht="31.5">
      <c r="A14" s="3"/>
      <c r="B14" s="4"/>
      <c r="C14" s="29"/>
      <c r="D14" s="30" t="s">
        <v>30</v>
      </c>
      <c r="E14" s="42" t="s">
        <v>141</v>
      </c>
      <c r="F14" s="104">
        <v>200</v>
      </c>
      <c r="G14" s="105">
        <f>F14*6.3/200</f>
        <v>6.3</v>
      </c>
      <c r="H14" s="105">
        <f>F14*6.2/200</f>
        <v>6.2</v>
      </c>
      <c r="I14" s="105">
        <f>F14*17.2/200</f>
        <v>17.2</v>
      </c>
      <c r="J14" s="105">
        <f>F14*150.6/200</f>
        <v>150.6</v>
      </c>
      <c r="K14" s="109" t="s">
        <v>78</v>
      </c>
      <c r="L14" s="123">
        <v>18.739999999999998</v>
      </c>
      <c r="M14" s="57"/>
    </row>
    <row r="15" spans="1:14" ht="15.75">
      <c r="A15" s="3"/>
      <c r="B15" s="4"/>
      <c r="C15" s="29"/>
      <c r="D15" s="30" t="s">
        <v>31</v>
      </c>
      <c r="E15" s="41" t="s">
        <v>47</v>
      </c>
      <c r="F15" s="107">
        <v>90</v>
      </c>
      <c r="G15" s="107">
        <f>F15*14.04/90</f>
        <v>14.04</v>
      </c>
      <c r="H15" s="107">
        <f>F15*17.46/90</f>
        <v>17.46</v>
      </c>
      <c r="I15" s="107">
        <f>F15*14.31/90</f>
        <v>14.31</v>
      </c>
      <c r="J15" s="107">
        <f>F15*270.86/90</f>
        <v>270.86</v>
      </c>
      <c r="K15" s="109" t="s">
        <v>48</v>
      </c>
      <c r="L15" s="123">
        <v>77.849999999999994</v>
      </c>
      <c r="M15" s="63"/>
      <c r="N15" s="63"/>
    </row>
    <row r="16" spans="1:14" ht="15.75">
      <c r="A16" s="3"/>
      <c r="B16" s="4"/>
      <c r="C16" s="29"/>
      <c r="D16" s="30" t="s">
        <v>32</v>
      </c>
      <c r="E16" s="42" t="s">
        <v>33</v>
      </c>
      <c r="F16" s="104">
        <v>150</v>
      </c>
      <c r="G16" s="107">
        <f>F16*5.33/150</f>
        <v>5.33</v>
      </c>
      <c r="H16" s="107">
        <f>F16*3/150</f>
        <v>3</v>
      </c>
      <c r="I16" s="107">
        <f>F16*32.4/150</f>
        <v>32.4</v>
      </c>
      <c r="J16" s="107">
        <f>F16*177.75/150</f>
        <v>177.75</v>
      </c>
      <c r="K16" s="109" t="s">
        <v>68</v>
      </c>
      <c r="L16" s="123">
        <v>9.5500000000000007</v>
      </c>
      <c r="M16" s="57"/>
    </row>
    <row r="17" spans="1:13" ht="15.75">
      <c r="A17" s="3"/>
      <c r="B17" s="4"/>
      <c r="C17" s="29"/>
      <c r="D17" s="30" t="s">
        <v>87</v>
      </c>
      <c r="E17" s="42" t="s">
        <v>34</v>
      </c>
      <c r="F17" s="104">
        <v>200</v>
      </c>
      <c r="G17" s="105">
        <f>0.4*F17/200</f>
        <v>0.4</v>
      </c>
      <c r="H17" s="105">
        <f>0.2*F17/200</f>
        <v>0.2</v>
      </c>
      <c r="I17" s="105">
        <f>16.1*F17/200</f>
        <v>16.100000000000001</v>
      </c>
      <c r="J17" s="105">
        <f>68*F17/200</f>
        <v>68</v>
      </c>
      <c r="K17" s="109">
        <v>44206</v>
      </c>
      <c r="L17" s="123">
        <v>17.3</v>
      </c>
      <c r="M17" s="57"/>
    </row>
    <row r="18" spans="1:13" ht="31.5">
      <c r="A18" s="3"/>
      <c r="B18" s="4"/>
      <c r="C18" s="29"/>
      <c r="D18" s="30" t="s">
        <v>35</v>
      </c>
      <c r="E18" s="13" t="s">
        <v>36</v>
      </c>
      <c r="F18" s="107">
        <v>30</v>
      </c>
      <c r="G18" s="107">
        <f>SUM(F18*2.37/30)</f>
        <v>2.37</v>
      </c>
      <c r="H18" s="107">
        <f>SUM(F18*0.3/30)</f>
        <v>0.3</v>
      </c>
      <c r="I18" s="107">
        <f>SUM(F18*14.49/30)</f>
        <v>14.49</v>
      </c>
      <c r="J18" s="107">
        <f>SUM(F18*70.14/30)</f>
        <v>70.14</v>
      </c>
      <c r="K18" s="109" t="s">
        <v>25</v>
      </c>
      <c r="L18" s="123">
        <v>3.19</v>
      </c>
      <c r="M18" s="57"/>
    </row>
    <row r="19" spans="1:13" ht="15.75">
      <c r="A19" s="3"/>
      <c r="B19" s="4"/>
      <c r="C19" s="29"/>
      <c r="D19" s="30" t="s">
        <v>37</v>
      </c>
      <c r="E19" s="42" t="s">
        <v>128</v>
      </c>
      <c r="F19" s="107">
        <v>34</v>
      </c>
      <c r="G19" s="107">
        <f>SUM(F19*1.68/30)</f>
        <v>1.9039999999999999</v>
      </c>
      <c r="H19" s="107">
        <f>SUM(F19*0.33/30)</f>
        <v>0.374</v>
      </c>
      <c r="I19" s="107">
        <f>SUM(F19*14.82/30)</f>
        <v>16.795999999999999</v>
      </c>
      <c r="J19" s="107">
        <f>SUM(F19*68.97/30)</f>
        <v>78.165999999999997</v>
      </c>
      <c r="K19" s="109" t="s">
        <v>39</v>
      </c>
      <c r="L19" s="123">
        <v>3.32</v>
      </c>
      <c r="M19" s="57"/>
    </row>
    <row r="20" spans="1:13" ht="15.75">
      <c r="A20" s="3"/>
      <c r="B20" s="4"/>
      <c r="C20" s="29"/>
      <c r="D20" s="31"/>
      <c r="E20" s="58"/>
      <c r="F20" s="59"/>
      <c r="G20" s="59"/>
      <c r="H20" s="59"/>
      <c r="I20" s="59"/>
      <c r="J20" s="59"/>
      <c r="K20" s="43"/>
      <c r="L20" s="123"/>
      <c r="M20" s="57"/>
    </row>
    <row r="21" spans="1:13" ht="15.75">
      <c r="A21" s="3"/>
      <c r="B21" s="4"/>
      <c r="C21" s="29"/>
      <c r="D21" s="31"/>
      <c r="E21" s="58"/>
      <c r="F21" s="59"/>
      <c r="G21" s="59"/>
      <c r="H21" s="59"/>
      <c r="I21" s="59"/>
      <c r="J21" s="59"/>
      <c r="K21" s="43"/>
      <c r="L21" s="123"/>
      <c r="M21" s="57"/>
    </row>
    <row r="22" spans="1:13" ht="15.75">
      <c r="A22" s="23"/>
      <c r="B22" s="24"/>
      <c r="C22" s="32"/>
      <c r="D22" s="33" t="s">
        <v>27</v>
      </c>
      <c r="E22" s="60"/>
      <c r="F22" s="61">
        <f>SUM(F13:F21)</f>
        <v>764</v>
      </c>
      <c r="G22" s="61">
        <f>SUM(G13:G21)</f>
        <v>30.943999999999996</v>
      </c>
      <c r="H22" s="61">
        <f t="shared" ref="H22:J22" si="0">SUM(H13:H21)</f>
        <v>33.533999999999999</v>
      </c>
      <c r="I22" s="61">
        <f t="shared" si="0"/>
        <v>116.036</v>
      </c>
      <c r="J22" s="61">
        <f t="shared" si="0"/>
        <v>890.9559999999999</v>
      </c>
      <c r="K22" s="80"/>
      <c r="L22" s="124">
        <f>L13+L14+L15+L16+L17+L18+L19+L20-0.01</f>
        <v>145.04999999999998</v>
      </c>
      <c r="M22" s="57"/>
    </row>
    <row r="23" spans="1:13" ht="16.5" thickBot="1">
      <c r="A23" s="25">
        <f>A6</f>
        <v>1</v>
      </c>
      <c r="B23" s="26">
        <f>B6</f>
        <v>1</v>
      </c>
      <c r="C23" s="148" t="s">
        <v>38</v>
      </c>
      <c r="D23" s="149"/>
      <c r="E23" s="64"/>
      <c r="F23" s="66">
        <f>F12+F22</f>
        <v>1344</v>
      </c>
      <c r="G23" s="66">
        <f t="shared" ref="G23:J23" si="1">G12+G22</f>
        <v>49.723999999999997</v>
      </c>
      <c r="H23" s="66">
        <f t="shared" si="1"/>
        <v>52.563999999999993</v>
      </c>
      <c r="I23" s="66">
        <f t="shared" si="1"/>
        <v>205.006</v>
      </c>
      <c r="J23" s="66">
        <f t="shared" si="1"/>
        <v>1493.4259999999999</v>
      </c>
      <c r="K23" s="81"/>
      <c r="L23" s="125">
        <f>L12+L22</f>
        <v>270.08999999999997</v>
      </c>
      <c r="M23" s="57"/>
    </row>
    <row r="24" spans="1:13" ht="15.75">
      <c r="A24" s="7">
        <v>1</v>
      </c>
      <c r="B24" s="4">
        <v>2</v>
      </c>
      <c r="C24" s="29" t="s">
        <v>21</v>
      </c>
      <c r="D24" s="30" t="s">
        <v>31</v>
      </c>
      <c r="E24" s="41" t="s">
        <v>80</v>
      </c>
      <c r="F24" s="136">
        <v>99</v>
      </c>
      <c r="G24" s="107">
        <f>F24*12.6/90</f>
        <v>13.859999999999998</v>
      </c>
      <c r="H24" s="107">
        <f>F24*13.5/90</f>
        <v>14.85</v>
      </c>
      <c r="I24" s="107">
        <f>F24*7.83/90</f>
        <v>8.6129999999999995</v>
      </c>
      <c r="J24" s="107">
        <f>F24*203.22/90</f>
        <v>223.54199999999997</v>
      </c>
      <c r="K24" s="110" t="s">
        <v>50</v>
      </c>
      <c r="L24" s="138">
        <v>88.81</v>
      </c>
      <c r="M24" s="57"/>
    </row>
    <row r="25" spans="1:13" ht="15.75">
      <c r="A25" s="7"/>
      <c r="B25" s="4"/>
      <c r="C25" s="29"/>
      <c r="D25" s="30" t="s">
        <v>32</v>
      </c>
      <c r="E25" s="41" t="s">
        <v>51</v>
      </c>
      <c r="F25" s="137">
        <v>150</v>
      </c>
      <c r="G25" s="107">
        <f>F25*3.17/150</f>
        <v>3.17</v>
      </c>
      <c r="H25" s="107">
        <f>F25*3.6/150</f>
        <v>3.6</v>
      </c>
      <c r="I25" s="107">
        <f>F25*20.4/150</f>
        <v>20.399999999999999</v>
      </c>
      <c r="J25" s="107">
        <f>F25*128/150</f>
        <v>128</v>
      </c>
      <c r="K25" s="110">
        <v>44258</v>
      </c>
      <c r="L25" s="139">
        <v>22.98</v>
      </c>
      <c r="M25" s="57"/>
    </row>
    <row r="26" spans="1:13" ht="15.75">
      <c r="A26" s="7"/>
      <c r="B26" s="4"/>
      <c r="C26" s="29"/>
      <c r="D26" s="30" t="s">
        <v>23</v>
      </c>
      <c r="E26" s="42" t="s">
        <v>44</v>
      </c>
      <c r="F26" s="137">
        <v>200</v>
      </c>
      <c r="G26" s="107">
        <v>1</v>
      </c>
      <c r="H26" s="107">
        <v>0.1</v>
      </c>
      <c r="I26" s="107">
        <v>19.8</v>
      </c>
      <c r="J26" s="107">
        <f>F26*84/200</f>
        <v>84</v>
      </c>
      <c r="K26" s="108" t="s">
        <v>73</v>
      </c>
      <c r="L26" s="139">
        <v>6.62</v>
      </c>
      <c r="M26" s="57"/>
    </row>
    <row r="27" spans="1:13" ht="31.5">
      <c r="A27" s="7"/>
      <c r="B27" s="4"/>
      <c r="C27" s="29"/>
      <c r="D27" s="30" t="s">
        <v>35</v>
      </c>
      <c r="E27" s="13" t="s">
        <v>36</v>
      </c>
      <c r="F27" s="136">
        <v>30</v>
      </c>
      <c r="G27" s="107">
        <f>SUM(F27*2.37/30)</f>
        <v>2.37</v>
      </c>
      <c r="H27" s="107">
        <f>SUM(F27*0.3/30)</f>
        <v>0.3</v>
      </c>
      <c r="I27" s="107">
        <f>SUM(F27*14.49/30)</f>
        <v>14.49</v>
      </c>
      <c r="J27" s="107">
        <f>SUM(F27*70.14/30)</f>
        <v>70.14</v>
      </c>
      <c r="K27" s="108" t="s">
        <v>25</v>
      </c>
      <c r="L27" s="140">
        <v>3.19</v>
      </c>
      <c r="M27" s="57"/>
    </row>
    <row r="28" spans="1:13" ht="15.75">
      <c r="A28" s="7"/>
      <c r="B28" s="4"/>
      <c r="C28" s="29"/>
      <c r="D28" s="30" t="s">
        <v>37</v>
      </c>
      <c r="E28" s="42" t="s">
        <v>128</v>
      </c>
      <c r="F28" s="136">
        <v>35</v>
      </c>
      <c r="G28" s="107">
        <f>SUM(F28*1.68/30)</f>
        <v>1.96</v>
      </c>
      <c r="H28" s="107">
        <f>SUM(F28*0.33/30)</f>
        <v>0.38500000000000001</v>
      </c>
      <c r="I28" s="107">
        <f>SUM(F28*14.82/30)</f>
        <v>17.290000000000003</v>
      </c>
      <c r="J28" s="107">
        <f>SUM(F28*68.97/30)</f>
        <v>80.464999999999989</v>
      </c>
      <c r="K28" s="108" t="s">
        <v>25</v>
      </c>
      <c r="L28" s="140">
        <v>3.44</v>
      </c>
      <c r="M28" s="57"/>
    </row>
    <row r="29" spans="1:13" ht="15.75">
      <c r="A29" s="7"/>
      <c r="B29" s="4"/>
      <c r="C29" s="29"/>
      <c r="D29" s="31"/>
      <c r="E29" s="58"/>
      <c r="F29" s="65"/>
      <c r="G29" s="65"/>
      <c r="H29" s="65"/>
      <c r="I29" s="65"/>
      <c r="J29" s="65"/>
      <c r="K29" s="43"/>
      <c r="L29" s="123"/>
      <c r="M29" s="57"/>
    </row>
    <row r="30" spans="1:13" ht="15.75">
      <c r="A30" s="35"/>
      <c r="B30" s="24"/>
      <c r="C30" s="32"/>
      <c r="D30" s="33" t="s">
        <v>27</v>
      </c>
      <c r="E30" s="60"/>
      <c r="F30" s="61">
        <f>SUM(F24:F29)</f>
        <v>514</v>
      </c>
      <c r="G30" s="61">
        <f>SUM(G24:G29)</f>
        <v>22.36</v>
      </c>
      <c r="H30" s="61">
        <f>SUM(H24:H29)</f>
        <v>19.235000000000003</v>
      </c>
      <c r="I30" s="61">
        <f>SUM(I24:I29)</f>
        <v>80.593000000000004</v>
      </c>
      <c r="J30" s="61">
        <f>SUM(J24:J29)</f>
        <v>586.14699999999993</v>
      </c>
      <c r="K30" s="80"/>
      <c r="L30" s="124">
        <f>SUM(L24:L29)</f>
        <v>125.04</v>
      </c>
      <c r="M30" s="57"/>
    </row>
    <row r="31" spans="1:13" ht="55.5" customHeight="1">
      <c r="A31" s="6">
        <v>1</v>
      </c>
      <c r="B31" s="6">
        <v>2</v>
      </c>
      <c r="C31" s="34" t="s">
        <v>28</v>
      </c>
      <c r="D31" s="30" t="s">
        <v>29</v>
      </c>
      <c r="E31" s="42" t="s">
        <v>151</v>
      </c>
      <c r="F31" s="141">
        <v>80</v>
      </c>
      <c r="G31" s="107">
        <f>F31*1.28/100</f>
        <v>1.024</v>
      </c>
      <c r="H31" s="107">
        <f>F31*5.97/100</f>
        <v>4.7759999999999998</v>
      </c>
      <c r="I31" s="107">
        <f>F31*6/100</f>
        <v>4.8</v>
      </c>
      <c r="J31" s="107">
        <f>F31*83/100</f>
        <v>66.400000000000006</v>
      </c>
      <c r="K31" s="108" t="s">
        <v>145</v>
      </c>
      <c r="L31" s="123">
        <v>11.21</v>
      </c>
      <c r="M31" s="57"/>
    </row>
    <row r="32" spans="1:13" ht="31.5">
      <c r="A32" s="7"/>
      <c r="B32" s="4"/>
      <c r="C32" s="29"/>
      <c r="D32" s="30" t="s">
        <v>30</v>
      </c>
      <c r="E32" s="41" t="s">
        <v>158</v>
      </c>
      <c r="F32" s="136">
        <v>200</v>
      </c>
      <c r="G32" s="107">
        <f>F32*3.5/200</f>
        <v>3.5</v>
      </c>
      <c r="H32" s="107">
        <f>F32*7.22/200</f>
        <v>7.22</v>
      </c>
      <c r="I32" s="107">
        <f>F32*9.4/200</f>
        <v>9.4</v>
      </c>
      <c r="J32" s="107">
        <f>F32*116.8/200</f>
        <v>116.8</v>
      </c>
      <c r="K32" s="108" t="s">
        <v>137</v>
      </c>
      <c r="L32" s="123">
        <v>38.159999999999997</v>
      </c>
      <c r="M32" s="57"/>
    </row>
    <row r="33" spans="1:14" ht="15.75">
      <c r="A33" s="7"/>
      <c r="B33" s="4"/>
      <c r="C33" s="29"/>
      <c r="D33" s="30" t="s">
        <v>31</v>
      </c>
      <c r="E33" s="41" t="s">
        <v>53</v>
      </c>
      <c r="F33" s="136">
        <v>250</v>
      </c>
      <c r="G33" s="107">
        <f>F33*12.3/200</f>
        <v>15.375</v>
      </c>
      <c r="H33" s="107">
        <f>F33*28.3/200</f>
        <v>35.375</v>
      </c>
      <c r="I33" s="107">
        <f>F33*38/200</f>
        <v>47.5</v>
      </c>
      <c r="J33" s="107">
        <f>460*F33/200</f>
        <v>575</v>
      </c>
      <c r="K33" s="108">
        <v>44294</v>
      </c>
      <c r="L33" s="123">
        <v>80.61</v>
      </c>
      <c r="M33" s="57"/>
    </row>
    <row r="34" spans="1:14" ht="15.75">
      <c r="A34" s="7"/>
      <c r="B34" s="4"/>
      <c r="C34" s="29"/>
      <c r="D34" s="30" t="s">
        <v>87</v>
      </c>
      <c r="E34" s="41" t="s">
        <v>149</v>
      </c>
      <c r="F34" s="136">
        <v>200</v>
      </c>
      <c r="G34" s="107">
        <f>F34*H34/200</f>
        <v>0</v>
      </c>
      <c r="H34" s="107">
        <f>F34*0/200</f>
        <v>0</v>
      </c>
      <c r="I34" s="107">
        <f>F34*27.8/200</f>
        <v>27.8</v>
      </c>
      <c r="J34" s="107">
        <f>F34*111/200</f>
        <v>111</v>
      </c>
      <c r="K34" s="108">
        <v>948</v>
      </c>
      <c r="L34" s="123">
        <v>5.74</v>
      </c>
      <c r="M34" s="57"/>
    </row>
    <row r="35" spans="1:14" ht="31.5">
      <c r="A35" s="7"/>
      <c r="B35" s="4"/>
      <c r="C35" s="29"/>
      <c r="D35" s="30" t="s">
        <v>35</v>
      </c>
      <c r="E35" s="13" t="s">
        <v>36</v>
      </c>
      <c r="F35" s="136">
        <v>50</v>
      </c>
      <c r="G35" s="107">
        <f>SUM(F35*3.95/50)</f>
        <v>3.95</v>
      </c>
      <c r="H35" s="107">
        <f>SUM(F35*0.5/50)</f>
        <v>0.5</v>
      </c>
      <c r="I35" s="107">
        <f>SUM(F35*24.15/50)</f>
        <v>24.15</v>
      </c>
      <c r="J35" s="107">
        <f>SUM(F35*116.9/50)</f>
        <v>116.9</v>
      </c>
      <c r="K35" s="108" t="s">
        <v>25</v>
      </c>
      <c r="L35" s="123">
        <v>5.32</v>
      </c>
      <c r="M35" s="57"/>
      <c r="N35" s="46">
        <v>1</v>
      </c>
    </row>
    <row r="36" spans="1:14" ht="15.75">
      <c r="A36" s="7"/>
      <c r="B36" s="4"/>
      <c r="C36" s="29"/>
      <c r="D36" s="30" t="s">
        <v>37</v>
      </c>
      <c r="E36" s="13" t="s">
        <v>128</v>
      </c>
      <c r="F36" s="136">
        <v>41</v>
      </c>
      <c r="G36" s="107">
        <f>SUM(F36*1.68/30)</f>
        <v>2.2959999999999998</v>
      </c>
      <c r="H36" s="107">
        <f>SUM(F36*0.33/30)</f>
        <v>0.45100000000000001</v>
      </c>
      <c r="I36" s="107">
        <f>SUM(F36*14.82/30)</f>
        <v>20.254000000000001</v>
      </c>
      <c r="J36" s="107">
        <f>SUM(F36*68.97/30)</f>
        <v>94.259</v>
      </c>
      <c r="K36" s="108" t="s">
        <v>25</v>
      </c>
      <c r="L36" s="123">
        <v>4.0199999999999996</v>
      </c>
      <c r="M36" s="57"/>
    </row>
    <row r="37" spans="1:14" ht="15.75">
      <c r="A37" s="7"/>
      <c r="B37" s="4"/>
      <c r="C37" s="29"/>
      <c r="D37" s="31"/>
      <c r="E37" s="58"/>
      <c r="F37" s="111"/>
      <c r="G37" s="111"/>
      <c r="H37" s="111"/>
      <c r="I37" s="111"/>
      <c r="J37" s="111"/>
      <c r="K37" s="108"/>
      <c r="L37" s="123"/>
      <c r="M37" s="57"/>
    </row>
    <row r="38" spans="1:14" ht="15.75">
      <c r="A38" s="7"/>
      <c r="B38" s="4"/>
      <c r="C38" s="29"/>
      <c r="D38" s="31"/>
      <c r="E38" s="58"/>
      <c r="F38" s="111"/>
      <c r="G38" s="111"/>
      <c r="H38" s="111"/>
      <c r="I38" s="111"/>
      <c r="J38" s="111"/>
      <c r="K38" s="108"/>
      <c r="L38" s="123"/>
      <c r="M38" s="57"/>
    </row>
    <row r="39" spans="1:14" ht="15.75">
      <c r="A39" s="35"/>
      <c r="B39" s="24"/>
      <c r="C39" s="32"/>
      <c r="D39" s="33" t="s">
        <v>27</v>
      </c>
      <c r="E39" s="60"/>
      <c r="F39" s="61">
        <f>SUM(F31:F38)</f>
        <v>821</v>
      </c>
      <c r="G39" s="61">
        <f>SUM(G31:G38)</f>
        <v>26.145</v>
      </c>
      <c r="H39" s="61">
        <f>SUM(H31:H38)</f>
        <v>48.321999999999996</v>
      </c>
      <c r="I39" s="61">
        <f>SUM(I31:I38)</f>
        <v>133.904</v>
      </c>
      <c r="J39" s="61">
        <f>SUM(J31:J38)</f>
        <v>1080.3589999999999</v>
      </c>
      <c r="K39" s="80"/>
      <c r="L39" s="124">
        <f>SUM(L31:L38)-0.01</f>
        <v>145.05000000000001</v>
      </c>
      <c r="M39" s="57"/>
    </row>
    <row r="40" spans="1:14" ht="16.5" thickBot="1">
      <c r="A40" s="36" t="e">
        <f>#REF!</f>
        <v>#REF!</v>
      </c>
      <c r="B40" s="36" t="e">
        <f>#REF!</f>
        <v>#REF!</v>
      </c>
      <c r="C40" s="148" t="s">
        <v>38</v>
      </c>
      <c r="D40" s="149"/>
      <c r="E40" s="64"/>
      <c r="F40" s="66">
        <f>F30+F39</f>
        <v>1335</v>
      </c>
      <c r="G40" s="66">
        <f>G30+G39</f>
        <v>48.504999999999995</v>
      </c>
      <c r="H40" s="66">
        <f>H30+H39</f>
        <v>67.557000000000002</v>
      </c>
      <c r="I40" s="66">
        <f>I30+I39</f>
        <v>214.49700000000001</v>
      </c>
      <c r="J40" s="66">
        <f>J30+J39</f>
        <v>1666.5059999999999</v>
      </c>
      <c r="K40" s="81"/>
      <c r="L40" s="125">
        <f>L30+L39</f>
        <v>270.09000000000003</v>
      </c>
      <c r="M40" s="57"/>
    </row>
    <row r="41" spans="1:14" ht="16.5" thickBot="1">
      <c r="A41" s="1">
        <v>1</v>
      </c>
      <c r="B41" s="2">
        <v>3</v>
      </c>
      <c r="C41" s="27" t="s">
        <v>21</v>
      </c>
      <c r="D41" s="28"/>
      <c r="E41" s="13"/>
      <c r="F41" s="11"/>
      <c r="G41" s="11"/>
      <c r="H41" s="11"/>
      <c r="I41" s="11"/>
      <c r="J41" s="11"/>
      <c r="K41" s="44"/>
      <c r="L41" s="122"/>
      <c r="M41" s="57"/>
    </row>
    <row r="42" spans="1:14" ht="31.5">
      <c r="A42" s="3"/>
      <c r="B42" s="4"/>
      <c r="C42" s="29"/>
      <c r="D42" s="28" t="s">
        <v>31</v>
      </c>
      <c r="E42" s="14" t="s">
        <v>43</v>
      </c>
      <c r="F42" s="107">
        <v>90</v>
      </c>
      <c r="G42" s="107">
        <f>F42*17.19/90</f>
        <v>17.190000000000001</v>
      </c>
      <c r="H42" s="107">
        <f>F42*14.31/90</f>
        <v>14.31</v>
      </c>
      <c r="I42" s="107">
        <f>F42*0.18/90</f>
        <v>0.18</v>
      </c>
      <c r="J42" s="107">
        <f>F42*198/90</f>
        <v>198</v>
      </c>
      <c r="K42" s="112">
        <v>4232</v>
      </c>
      <c r="L42" s="122">
        <v>64.61</v>
      </c>
      <c r="M42" s="57"/>
      <c r="N42" s="57"/>
    </row>
    <row r="43" spans="1:14" ht="15.75">
      <c r="A43" s="3"/>
      <c r="B43" s="4"/>
      <c r="C43" s="29"/>
      <c r="D43" s="31" t="s">
        <v>32</v>
      </c>
      <c r="E43" s="13" t="s">
        <v>33</v>
      </c>
      <c r="F43" s="104">
        <v>150</v>
      </c>
      <c r="G43" s="107">
        <f>F43*5.33/150</f>
        <v>5.33</v>
      </c>
      <c r="H43" s="107">
        <f>F43*3/150</f>
        <v>3</v>
      </c>
      <c r="I43" s="107">
        <f>F43*32.4/150</f>
        <v>32.4</v>
      </c>
      <c r="J43" s="107">
        <f>177.75*F43/150</f>
        <v>177.75</v>
      </c>
      <c r="K43" s="108">
        <v>46.3</v>
      </c>
      <c r="L43" s="123">
        <v>9.5500000000000007</v>
      </c>
      <c r="M43" s="57"/>
      <c r="N43" s="57"/>
    </row>
    <row r="44" spans="1:14" ht="15.75">
      <c r="A44" s="3"/>
      <c r="B44" s="4"/>
      <c r="C44" s="29"/>
      <c r="D44" s="30" t="s">
        <v>23</v>
      </c>
      <c r="E44" s="13" t="s">
        <v>92</v>
      </c>
      <c r="F44" s="107">
        <v>200</v>
      </c>
      <c r="G44" s="107">
        <v>3.6</v>
      </c>
      <c r="H44" s="107">
        <v>3.3</v>
      </c>
      <c r="I44" s="107">
        <v>22.8</v>
      </c>
      <c r="J44" s="107">
        <v>135</v>
      </c>
      <c r="K44" s="110" t="s">
        <v>52</v>
      </c>
      <c r="L44" s="123">
        <v>22.54</v>
      </c>
      <c r="M44" s="57"/>
      <c r="N44" s="57"/>
    </row>
    <row r="45" spans="1:14" ht="31.5">
      <c r="A45" s="3"/>
      <c r="B45" s="4"/>
      <c r="C45" s="29"/>
      <c r="D45" s="30" t="s">
        <v>35</v>
      </c>
      <c r="E45" s="13" t="s">
        <v>36</v>
      </c>
      <c r="F45" s="107">
        <v>34</v>
      </c>
      <c r="G45" s="107">
        <f>SUM(F45*2.37/30)</f>
        <v>2.6859999999999999</v>
      </c>
      <c r="H45" s="107">
        <f>SUM(F45*0.3/30)</f>
        <v>0.33999999999999997</v>
      </c>
      <c r="I45" s="107">
        <f>SUM(F45*14.49/30)</f>
        <v>16.422000000000001</v>
      </c>
      <c r="J45" s="107">
        <f>SUM(F45*70.14/30)</f>
        <v>79.492000000000004</v>
      </c>
      <c r="K45" s="108" t="s">
        <v>25</v>
      </c>
      <c r="L45" s="123">
        <v>3.62</v>
      </c>
      <c r="M45" s="57"/>
      <c r="N45" s="57"/>
    </row>
    <row r="46" spans="1:14" ht="15.75">
      <c r="A46" s="3"/>
      <c r="B46" s="4"/>
      <c r="C46" s="29"/>
      <c r="D46" s="30" t="s">
        <v>37</v>
      </c>
      <c r="E46" s="13" t="s">
        <v>128</v>
      </c>
      <c r="F46" s="107">
        <v>30</v>
      </c>
      <c r="G46" s="107">
        <f>SUM(F46*1.68/30)</f>
        <v>1.68</v>
      </c>
      <c r="H46" s="107">
        <f>SUM(F46*0.33/30)</f>
        <v>0.33</v>
      </c>
      <c r="I46" s="107">
        <f>SUM(F46*14.82/30)</f>
        <v>14.82</v>
      </c>
      <c r="J46" s="107">
        <f>SUM(F46*68.97/30)</f>
        <v>68.97</v>
      </c>
      <c r="K46" s="108" t="s">
        <v>25</v>
      </c>
      <c r="L46" s="123">
        <v>2.95</v>
      </c>
      <c r="M46" s="57"/>
      <c r="N46" s="57"/>
    </row>
    <row r="47" spans="1:14" ht="50.25" customHeight="1">
      <c r="A47" s="3"/>
      <c r="B47" s="4"/>
      <c r="C47" s="29"/>
      <c r="D47" s="31"/>
      <c r="E47" s="67" t="s">
        <v>157</v>
      </c>
      <c r="F47" s="113">
        <v>46</v>
      </c>
      <c r="G47" s="113">
        <f>F47*1.3/100</f>
        <v>0.59800000000000009</v>
      </c>
      <c r="H47" s="113">
        <f>F47*6.1/100</f>
        <v>2.8059999999999996</v>
      </c>
      <c r="I47" s="113">
        <f>F47*4.1/100</f>
        <v>1.8859999999999999</v>
      </c>
      <c r="J47" s="113">
        <f>F47*82/100</f>
        <v>37.72</v>
      </c>
      <c r="K47" s="114" t="s">
        <v>148</v>
      </c>
      <c r="L47" s="126">
        <v>21.76</v>
      </c>
      <c r="M47" s="57"/>
      <c r="N47" s="57"/>
    </row>
    <row r="48" spans="1:14" ht="15.75">
      <c r="A48" s="23"/>
      <c r="B48" s="24"/>
      <c r="C48" s="32"/>
      <c r="D48" s="33" t="s">
        <v>27</v>
      </c>
      <c r="E48" s="60"/>
      <c r="F48" s="61">
        <f>SUM(F41:F47)</f>
        <v>550</v>
      </c>
      <c r="G48" s="61">
        <f>SUM(G41:G47)</f>
        <v>31.084000000000003</v>
      </c>
      <c r="H48" s="61">
        <f t="shared" ref="H48" si="2">SUM(H41:H47)</f>
        <v>24.086000000000002</v>
      </c>
      <c r="I48" s="61">
        <f>SUM(I41:I47)</f>
        <v>88.507999999999981</v>
      </c>
      <c r="J48" s="61">
        <f t="shared" ref="J48" si="3">SUM(J41:J47)</f>
        <v>696.93200000000002</v>
      </c>
      <c r="K48" s="80"/>
      <c r="L48" s="124">
        <f>SUM(L41:L47)+0.01</f>
        <v>125.04</v>
      </c>
      <c r="M48" s="57"/>
    </row>
    <row r="49" spans="1:13" ht="47.25">
      <c r="A49" s="5">
        <f>A41</f>
        <v>1</v>
      </c>
      <c r="B49" s="6">
        <f>B41</f>
        <v>3</v>
      </c>
      <c r="C49" s="34" t="s">
        <v>28</v>
      </c>
      <c r="D49" s="30" t="s">
        <v>29</v>
      </c>
      <c r="E49" s="68" t="s">
        <v>93</v>
      </c>
      <c r="F49" s="105">
        <v>60</v>
      </c>
      <c r="G49" s="105">
        <f>F49*3.24/60</f>
        <v>3.24</v>
      </c>
      <c r="H49" s="105">
        <f>F49*7.74/60</f>
        <v>7.74</v>
      </c>
      <c r="I49" s="105">
        <f>F49*25.26/60</f>
        <v>25.26</v>
      </c>
      <c r="J49" s="105">
        <f>F49*183.84/60</f>
        <v>183.84</v>
      </c>
      <c r="K49" s="108" t="s">
        <v>94</v>
      </c>
      <c r="L49" s="123">
        <v>11.8</v>
      </c>
      <c r="M49" s="57"/>
    </row>
    <row r="50" spans="1:13" ht="32.25" thickBot="1">
      <c r="A50" s="3"/>
      <c r="B50" s="4"/>
      <c r="C50" s="29"/>
      <c r="D50" s="30" t="s">
        <v>30</v>
      </c>
      <c r="E50" s="41" t="s">
        <v>45</v>
      </c>
      <c r="F50" s="105">
        <v>200</v>
      </c>
      <c r="G50" s="105">
        <f>F50*2.22/200</f>
        <v>2.2200000000000002</v>
      </c>
      <c r="H50" s="105">
        <f>F50*3.84/200</f>
        <v>3.84</v>
      </c>
      <c r="I50" s="105">
        <f>F50*6.68/200</f>
        <v>6.68</v>
      </c>
      <c r="J50" s="105">
        <f>F50*70/200</f>
        <v>70</v>
      </c>
      <c r="K50" s="110" t="s">
        <v>95</v>
      </c>
      <c r="L50" s="123">
        <v>27.59</v>
      </c>
      <c r="M50" s="57"/>
    </row>
    <row r="51" spans="1:13" ht="31.5">
      <c r="A51" s="3"/>
      <c r="B51" s="4"/>
      <c r="C51" s="29"/>
      <c r="D51" s="30" t="s">
        <v>31</v>
      </c>
      <c r="E51" s="42" t="s">
        <v>88</v>
      </c>
      <c r="F51" s="107">
        <v>91</v>
      </c>
      <c r="G51" s="107">
        <f>F51*11.61/90</f>
        <v>11.739000000000001</v>
      </c>
      <c r="H51" s="107">
        <f>F51*12.06/90</f>
        <v>12.194000000000001</v>
      </c>
      <c r="I51" s="107">
        <f>F51*13.14/90</f>
        <v>13.286</v>
      </c>
      <c r="J51" s="107">
        <f>F51*207.54/90</f>
        <v>209.846</v>
      </c>
      <c r="K51" s="106" t="s">
        <v>138</v>
      </c>
      <c r="L51" s="123">
        <v>68.489999999999995</v>
      </c>
      <c r="M51" s="57"/>
    </row>
    <row r="52" spans="1:13" ht="15.75">
      <c r="A52" s="3"/>
      <c r="B52" s="4"/>
      <c r="C52" s="29"/>
      <c r="D52" s="30" t="s">
        <v>32</v>
      </c>
      <c r="E52" s="41" t="s">
        <v>127</v>
      </c>
      <c r="F52" s="107">
        <v>150</v>
      </c>
      <c r="G52" s="107">
        <f>F52*3.25/150</f>
        <v>3.25</v>
      </c>
      <c r="H52" s="107">
        <f>F52*2.8/150</f>
        <v>2.8</v>
      </c>
      <c r="I52" s="107">
        <f>F52*11.9/150</f>
        <v>11.9</v>
      </c>
      <c r="J52" s="107">
        <f>F52*87/150</f>
        <v>87</v>
      </c>
      <c r="K52" s="110">
        <v>44533</v>
      </c>
      <c r="L52" s="123">
        <v>17.22</v>
      </c>
      <c r="M52" s="57"/>
    </row>
    <row r="53" spans="1:13" ht="15.75">
      <c r="A53" s="3"/>
      <c r="B53" s="4"/>
      <c r="C53" s="29"/>
      <c r="D53" s="30" t="s">
        <v>87</v>
      </c>
      <c r="E53" s="41" t="s">
        <v>41</v>
      </c>
      <c r="F53" s="105">
        <v>200</v>
      </c>
      <c r="G53" s="105">
        <v>0</v>
      </c>
      <c r="H53" s="105">
        <v>0</v>
      </c>
      <c r="I53" s="105">
        <v>12</v>
      </c>
      <c r="J53" s="105">
        <v>48</v>
      </c>
      <c r="K53" s="108" t="s">
        <v>42</v>
      </c>
      <c r="L53" s="123">
        <v>12.54</v>
      </c>
      <c r="M53" s="57"/>
    </row>
    <row r="54" spans="1:13" ht="31.5">
      <c r="A54" s="3"/>
      <c r="B54" s="4"/>
      <c r="C54" s="29"/>
      <c r="D54" s="30" t="s">
        <v>35</v>
      </c>
      <c r="E54" s="13" t="s">
        <v>36</v>
      </c>
      <c r="F54" s="107">
        <v>42</v>
      </c>
      <c r="G54" s="107">
        <f>SUM(F54*3.16/40)</f>
        <v>3.3180000000000001</v>
      </c>
      <c r="H54" s="107">
        <f>SUM(F54*0.4/40)</f>
        <v>0.42000000000000004</v>
      </c>
      <c r="I54" s="107">
        <f>SUM(F54*19.32/40)</f>
        <v>20.286000000000001</v>
      </c>
      <c r="J54" s="107">
        <f>SUM(F54*93.52/40)</f>
        <v>98.195999999999998</v>
      </c>
      <c r="K54" s="108" t="s">
        <v>25</v>
      </c>
      <c r="L54" s="123">
        <v>4.45</v>
      </c>
      <c r="M54" s="57"/>
    </row>
    <row r="55" spans="1:13" ht="15.75">
      <c r="A55" s="3"/>
      <c r="B55" s="4"/>
      <c r="C55" s="29"/>
      <c r="D55" s="30" t="s">
        <v>37</v>
      </c>
      <c r="E55" s="42" t="s">
        <v>128</v>
      </c>
      <c r="F55" s="107">
        <v>30</v>
      </c>
      <c r="G55" s="107">
        <f>SUM(F55*1.68/30)</f>
        <v>1.68</v>
      </c>
      <c r="H55" s="107">
        <f>SUM(F55*0.33/30)</f>
        <v>0.33</v>
      </c>
      <c r="I55" s="107">
        <f>SUM(F55*14.82/30)</f>
        <v>14.82</v>
      </c>
      <c r="J55" s="107">
        <f>SUM(F55*68.97/30)</f>
        <v>68.97</v>
      </c>
      <c r="K55" s="108" t="s">
        <v>25</v>
      </c>
      <c r="L55" s="123">
        <v>2.95</v>
      </c>
      <c r="M55" s="57"/>
    </row>
    <row r="56" spans="1:13" ht="15.75">
      <c r="A56" s="3"/>
      <c r="B56" s="4"/>
      <c r="C56" s="29"/>
      <c r="D56" s="31"/>
      <c r="E56" s="58"/>
      <c r="F56" s="111"/>
      <c r="G56" s="111"/>
      <c r="H56" s="111"/>
      <c r="I56" s="111"/>
      <c r="J56" s="111"/>
      <c r="K56" s="108"/>
      <c r="L56" s="123"/>
      <c r="M56" s="57"/>
    </row>
    <row r="57" spans="1:13" ht="15.75">
      <c r="A57" s="3"/>
      <c r="B57" s="4"/>
      <c r="C57" s="29"/>
      <c r="D57" s="31"/>
      <c r="E57" s="58"/>
      <c r="F57" s="65"/>
      <c r="G57" s="65"/>
      <c r="H57" s="65"/>
      <c r="I57" s="65"/>
      <c r="J57" s="65"/>
      <c r="K57" s="43"/>
      <c r="L57" s="123"/>
      <c r="M57" s="57"/>
    </row>
    <row r="58" spans="1:13" ht="15.75">
      <c r="A58" s="23"/>
      <c r="B58" s="24"/>
      <c r="C58" s="32"/>
      <c r="D58" s="33" t="s">
        <v>27</v>
      </c>
      <c r="E58" s="60"/>
      <c r="F58" s="61">
        <f>SUM(F49:F57)</f>
        <v>773</v>
      </c>
      <c r="G58" s="61">
        <f>SUM(G49:G57)-0.01</f>
        <v>25.437000000000001</v>
      </c>
      <c r="H58" s="61">
        <f>SUM(H49:H57)</f>
        <v>27.324000000000002</v>
      </c>
      <c r="I58" s="61">
        <f>SUM(I49:I57)</f>
        <v>104.232</v>
      </c>
      <c r="J58" s="61">
        <f t="shared" ref="J58" si="4">SUM(J49:J57)</f>
        <v>765.85200000000009</v>
      </c>
      <c r="K58" s="80"/>
      <c r="L58" s="124">
        <f>SUM(L49:L57)+0.01</f>
        <v>145.04999999999995</v>
      </c>
      <c r="M58" s="57"/>
    </row>
    <row r="59" spans="1:13" ht="16.5" thickBot="1">
      <c r="A59" s="25">
        <f>A41</f>
        <v>1</v>
      </c>
      <c r="B59" s="26">
        <f>B41</f>
        <v>3</v>
      </c>
      <c r="C59" s="148" t="s">
        <v>38</v>
      </c>
      <c r="D59" s="149"/>
      <c r="E59" s="64"/>
      <c r="F59" s="66">
        <f>F48+F58</f>
        <v>1323</v>
      </c>
      <c r="G59" s="66">
        <f>G48+G58</f>
        <v>56.521000000000001</v>
      </c>
      <c r="H59" s="66">
        <f t="shared" ref="H59" si="5">H48+H58</f>
        <v>51.410000000000004</v>
      </c>
      <c r="I59" s="66">
        <f t="shared" ref="I59" si="6">I48+I58</f>
        <v>192.73999999999998</v>
      </c>
      <c r="J59" s="66">
        <f t="shared" ref="J59:L59" si="7">J48+J58</f>
        <v>1462.7840000000001</v>
      </c>
      <c r="K59" s="81"/>
      <c r="L59" s="125">
        <f t="shared" si="7"/>
        <v>270.08999999999997</v>
      </c>
      <c r="M59" s="57"/>
    </row>
    <row r="60" spans="1:13" ht="15.75">
      <c r="A60" s="1">
        <v>1</v>
      </c>
      <c r="B60" s="2">
        <v>4</v>
      </c>
      <c r="C60" s="27" t="s">
        <v>21</v>
      </c>
      <c r="D60" s="28" t="s">
        <v>22</v>
      </c>
      <c r="E60" s="42" t="s">
        <v>96</v>
      </c>
      <c r="F60" s="105">
        <v>220</v>
      </c>
      <c r="G60" s="105">
        <f>F60*15.7/200</f>
        <v>17.27</v>
      </c>
      <c r="H60" s="105">
        <f>F60*15.7/200</f>
        <v>17.27</v>
      </c>
      <c r="I60" s="105">
        <f>F60*19.8/200</f>
        <v>21.78</v>
      </c>
      <c r="J60" s="105">
        <f>F60*283.3/200</f>
        <v>311.63</v>
      </c>
      <c r="K60" s="106">
        <v>44263</v>
      </c>
      <c r="L60" s="127">
        <v>93.3</v>
      </c>
      <c r="M60" s="57"/>
    </row>
    <row r="61" spans="1:13" ht="15.75">
      <c r="A61" s="3"/>
      <c r="B61" s="4"/>
      <c r="C61" s="29"/>
      <c r="D61" s="30" t="s">
        <v>23</v>
      </c>
      <c r="E61" s="42" t="s">
        <v>97</v>
      </c>
      <c r="F61" s="105">
        <v>200</v>
      </c>
      <c r="G61" s="105">
        <v>0.1</v>
      </c>
      <c r="H61" s="105">
        <v>0</v>
      </c>
      <c r="I61" s="105">
        <v>9.9</v>
      </c>
      <c r="J61" s="105">
        <v>40</v>
      </c>
      <c r="K61" s="108" t="s">
        <v>98</v>
      </c>
      <c r="L61" s="128">
        <v>7.12</v>
      </c>
      <c r="M61" s="57"/>
    </row>
    <row r="62" spans="1:13" ht="31.5">
      <c r="A62" s="3"/>
      <c r="B62" s="4"/>
      <c r="C62" s="29"/>
      <c r="D62" s="30" t="s">
        <v>35</v>
      </c>
      <c r="E62" s="13" t="s">
        <v>36</v>
      </c>
      <c r="F62" s="107">
        <v>50</v>
      </c>
      <c r="G62" s="107">
        <f>SUM(F62*3.95/50)</f>
        <v>3.95</v>
      </c>
      <c r="H62" s="107">
        <f>SUM(F62*0.5/50)</f>
        <v>0.5</v>
      </c>
      <c r="I62" s="107">
        <f>SUM(F62*24.15/50)</f>
        <v>24.15</v>
      </c>
      <c r="J62" s="107">
        <f>SUM(F62*116.9/50)</f>
        <v>116.9</v>
      </c>
      <c r="K62" s="114" t="s">
        <v>25</v>
      </c>
      <c r="L62" s="128">
        <v>5.32</v>
      </c>
      <c r="M62" s="57"/>
    </row>
    <row r="63" spans="1:13" ht="17.25" customHeight="1" thickBot="1">
      <c r="A63" s="3"/>
      <c r="B63" s="4"/>
      <c r="C63" s="29"/>
      <c r="D63" s="30" t="s">
        <v>37</v>
      </c>
      <c r="E63" s="42" t="s">
        <v>128</v>
      </c>
      <c r="F63" s="107">
        <v>50</v>
      </c>
      <c r="G63" s="107">
        <f>SUM(F63*2.8/50)</f>
        <v>2.8</v>
      </c>
      <c r="H63" s="107">
        <f>SUM(F63*0.55/50)</f>
        <v>0.55000000000000004</v>
      </c>
      <c r="I63" s="107">
        <f>SUM(F63*24.7/50)</f>
        <v>24.7</v>
      </c>
      <c r="J63" s="107">
        <f>SUM(F63*114.95/50)</f>
        <v>114.95</v>
      </c>
      <c r="K63" s="114" t="s">
        <v>25</v>
      </c>
      <c r="L63" s="123">
        <v>4.92</v>
      </c>
      <c r="M63" s="57"/>
    </row>
    <row r="64" spans="1:13" ht="21" customHeight="1" thickBot="1">
      <c r="A64" s="3"/>
      <c r="B64" s="4"/>
      <c r="C64" s="29"/>
      <c r="D64" s="30"/>
      <c r="E64" s="115" t="s">
        <v>152</v>
      </c>
      <c r="F64" s="116">
        <v>34</v>
      </c>
      <c r="G64" s="116">
        <f>F64*1/100</f>
        <v>0.34</v>
      </c>
      <c r="H64" s="116">
        <f>F64*0.2/100</f>
        <v>6.8000000000000005E-2</v>
      </c>
      <c r="I64" s="116">
        <f>F64*3.8/100</f>
        <v>1.2919999999999998</v>
      </c>
      <c r="J64" s="116">
        <f>F64*124/100</f>
        <v>42.16</v>
      </c>
      <c r="K64" s="117" t="s">
        <v>153</v>
      </c>
      <c r="L64" s="123">
        <v>14.4</v>
      </c>
      <c r="M64" s="57"/>
    </row>
    <row r="65" spans="1:13" ht="15.75">
      <c r="A65" s="3"/>
      <c r="B65" s="4"/>
      <c r="C65" s="29"/>
      <c r="D65" s="31"/>
      <c r="E65" s="15"/>
      <c r="F65" s="11"/>
      <c r="G65" s="11"/>
      <c r="H65" s="11"/>
      <c r="I65" s="11"/>
      <c r="J65" s="11"/>
      <c r="K65" s="82"/>
      <c r="L65" s="123"/>
      <c r="M65" s="57"/>
    </row>
    <row r="66" spans="1:13" ht="15.75">
      <c r="A66" s="3"/>
      <c r="B66" s="4"/>
      <c r="C66" s="29"/>
      <c r="D66" s="31"/>
      <c r="E66" s="58"/>
      <c r="F66" s="65"/>
      <c r="G66" s="65"/>
      <c r="H66" s="65"/>
      <c r="I66" s="65"/>
      <c r="J66" s="65"/>
      <c r="K66" s="43"/>
      <c r="L66" s="123"/>
      <c r="M66" s="57"/>
    </row>
    <row r="67" spans="1:13" ht="15.75">
      <c r="A67" s="23"/>
      <c r="B67" s="24"/>
      <c r="C67" s="32"/>
      <c r="D67" s="33" t="s">
        <v>27</v>
      </c>
      <c r="E67" s="60"/>
      <c r="F67" s="61">
        <f>SUM(F60:F66)</f>
        <v>554</v>
      </c>
      <c r="G67" s="61">
        <f t="shared" ref="G67" si="8">SUM(G60:G66)</f>
        <v>24.46</v>
      </c>
      <c r="H67" s="61">
        <f t="shared" ref="H67" si="9">SUM(H60:H66)</f>
        <v>18.388000000000002</v>
      </c>
      <c r="I67" s="61">
        <f t="shared" ref="I67" si="10">SUM(I60:I66)</f>
        <v>81.822000000000003</v>
      </c>
      <c r="J67" s="61">
        <f t="shared" ref="J67" si="11">SUM(J60:J66)</f>
        <v>625.64</v>
      </c>
      <c r="K67" s="80"/>
      <c r="L67" s="124">
        <f>SUM(L60:L66)-0.01</f>
        <v>125.05000000000001</v>
      </c>
      <c r="M67" s="57"/>
    </row>
    <row r="68" spans="1:13" ht="55.5" customHeight="1">
      <c r="A68" s="5">
        <f>A60</f>
        <v>1</v>
      </c>
      <c r="B68" s="6">
        <f>B60</f>
        <v>4</v>
      </c>
      <c r="C68" s="34" t="s">
        <v>28</v>
      </c>
      <c r="D68" s="30" t="s">
        <v>29</v>
      </c>
      <c r="E68" s="42" t="s">
        <v>154</v>
      </c>
      <c r="F68" s="105">
        <v>60</v>
      </c>
      <c r="G68" s="105">
        <f>F68*1.02/60</f>
        <v>1.02</v>
      </c>
      <c r="H68" s="105">
        <f>F68*3.6/60</f>
        <v>3.6</v>
      </c>
      <c r="I68" s="105">
        <f>4.74*F68/60</f>
        <v>4.74</v>
      </c>
      <c r="J68" s="105">
        <f>F68*55.44/60</f>
        <v>55.439999999999991</v>
      </c>
      <c r="K68" s="108" t="s">
        <v>129</v>
      </c>
      <c r="L68" s="123">
        <v>9.2100000000000009</v>
      </c>
      <c r="M68" s="57"/>
    </row>
    <row r="69" spans="1:13" ht="31.5">
      <c r="A69" s="3"/>
      <c r="B69" s="4"/>
      <c r="C69" s="29"/>
      <c r="D69" s="30" t="s">
        <v>30</v>
      </c>
      <c r="E69" s="14" t="s">
        <v>130</v>
      </c>
      <c r="F69" s="107">
        <v>200</v>
      </c>
      <c r="G69" s="107">
        <f>F69*7.76/200</f>
        <v>7.76</v>
      </c>
      <c r="H69" s="107">
        <f>F69*3.84/200</f>
        <v>3.84</v>
      </c>
      <c r="I69" s="107">
        <f>F69*10.48/200</f>
        <v>10.48</v>
      </c>
      <c r="J69" s="107">
        <f>F69*106.4/200</f>
        <v>106.4</v>
      </c>
      <c r="K69" s="110" t="s">
        <v>134</v>
      </c>
      <c r="L69" s="123">
        <v>29.28</v>
      </c>
      <c r="M69" s="57"/>
    </row>
    <row r="70" spans="1:13" ht="15.75">
      <c r="A70" s="3"/>
      <c r="B70" s="4"/>
      <c r="C70" s="29"/>
      <c r="D70" s="30" t="s">
        <v>31</v>
      </c>
      <c r="E70" s="13" t="s">
        <v>40</v>
      </c>
      <c r="F70" s="107">
        <v>99</v>
      </c>
      <c r="G70" s="107">
        <f>F70*13.32/90</f>
        <v>14.652000000000001</v>
      </c>
      <c r="H70" s="107">
        <f>F70*11.16/90</f>
        <v>12.276</v>
      </c>
      <c r="I70" s="107">
        <f>F70*8.19/90</f>
        <v>9.0089999999999986</v>
      </c>
      <c r="J70" s="107">
        <f>F70*186.3/90</f>
        <v>204.93</v>
      </c>
      <c r="K70" s="108">
        <v>44325</v>
      </c>
      <c r="L70" s="123">
        <v>72.06</v>
      </c>
      <c r="M70" s="57"/>
    </row>
    <row r="71" spans="1:13" ht="15.75">
      <c r="A71" s="3"/>
      <c r="B71" s="4"/>
      <c r="C71" s="29"/>
      <c r="D71" s="30" t="s">
        <v>32</v>
      </c>
      <c r="E71" s="14" t="s">
        <v>46</v>
      </c>
      <c r="F71" s="107">
        <v>150</v>
      </c>
      <c r="G71" s="107">
        <f>F71*6.63/150</f>
        <v>6.63</v>
      </c>
      <c r="H71" s="107">
        <f>F71*4.44/150</f>
        <v>4.4400000000000004</v>
      </c>
      <c r="I71" s="107">
        <f>F71*28.8/150</f>
        <v>28.8</v>
      </c>
      <c r="J71" s="107">
        <f>F71*181.5/150</f>
        <v>181.5</v>
      </c>
      <c r="K71" s="110" t="s">
        <v>63</v>
      </c>
      <c r="L71" s="123">
        <v>9.36</v>
      </c>
      <c r="M71" s="57"/>
    </row>
    <row r="72" spans="1:13" ht="15.75">
      <c r="A72" s="3"/>
      <c r="B72" s="4"/>
      <c r="C72" s="29"/>
      <c r="D72" s="30" t="s">
        <v>87</v>
      </c>
      <c r="E72" s="13" t="s">
        <v>49</v>
      </c>
      <c r="F72" s="107">
        <v>200</v>
      </c>
      <c r="G72" s="107">
        <v>0.2</v>
      </c>
      <c r="H72" s="107">
        <v>0.2</v>
      </c>
      <c r="I72" s="107">
        <v>16.8</v>
      </c>
      <c r="J72" s="107">
        <v>70</v>
      </c>
      <c r="K72" s="110">
        <v>44296</v>
      </c>
      <c r="L72" s="123">
        <v>17.350000000000001</v>
      </c>
      <c r="M72" s="57"/>
    </row>
    <row r="73" spans="1:13" ht="31.5">
      <c r="A73" s="3"/>
      <c r="B73" s="4"/>
      <c r="C73" s="29"/>
      <c r="D73" s="30" t="s">
        <v>35</v>
      </c>
      <c r="E73" s="13" t="s">
        <v>36</v>
      </c>
      <c r="F73" s="107">
        <v>40</v>
      </c>
      <c r="G73" s="107">
        <f>SUM(F73*3.16/40)</f>
        <v>3.16</v>
      </c>
      <c r="H73" s="107">
        <f>SUM(F73*0.4/40)</f>
        <v>0.4</v>
      </c>
      <c r="I73" s="107">
        <f>SUM(F73*19.32/40)</f>
        <v>19.32</v>
      </c>
      <c r="J73" s="107">
        <f>SUM(F73*93.52/40)</f>
        <v>93.52</v>
      </c>
      <c r="K73" s="108" t="s">
        <v>25</v>
      </c>
      <c r="L73" s="123">
        <v>4.25</v>
      </c>
      <c r="M73" s="57"/>
    </row>
    <row r="74" spans="1:13" ht="15.75">
      <c r="A74" s="3"/>
      <c r="B74" s="4"/>
      <c r="C74" s="29"/>
      <c r="D74" s="30" t="s">
        <v>37</v>
      </c>
      <c r="E74" s="13" t="s">
        <v>128</v>
      </c>
      <c r="F74" s="107">
        <v>36</v>
      </c>
      <c r="G74" s="107">
        <f>SUM(F74*1.68/30)</f>
        <v>2.016</v>
      </c>
      <c r="H74" s="107">
        <f>SUM(F74*0.33/30)</f>
        <v>0.39600000000000002</v>
      </c>
      <c r="I74" s="107">
        <f>SUM(F74*14.82/30)</f>
        <v>17.783999999999999</v>
      </c>
      <c r="J74" s="107">
        <f>SUM(F74*68.97/30)</f>
        <v>82.763999999999996</v>
      </c>
      <c r="K74" s="108" t="s">
        <v>25</v>
      </c>
      <c r="L74" s="123">
        <v>3.54</v>
      </c>
      <c r="M74" s="57"/>
    </row>
    <row r="75" spans="1:13" ht="15.75">
      <c r="A75" s="3"/>
      <c r="B75" s="4"/>
      <c r="C75" s="29"/>
      <c r="D75" s="31"/>
      <c r="E75" s="58"/>
      <c r="F75" s="111"/>
      <c r="G75" s="111"/>
      <c r="H75" s="111"/>
      <c r="I75" s="111"/>
      <c r="J75" s="111"/>
      <c r="K75" s="108"/>
      <c r="L75" s="123"/>
      <c r="M75" s="57"/>
    </row>
    <row r="76" spans="1:13" ht="15.75">
      <c r="A76" s="3"/>
      <c r="B76" s="4"/>
      <c r="C76" s="29"/>
      <c r="D76" s="31"/>
      <c r="E76" s="58"/>
      <c r="F76" s="65"/>
      <c r="G76" s="65"/>
      <c r="H76" s="65"/>
      <c r="I76" s="65"/>
      <c r="J76" s="65"/>
      <c r="K76" s="43"/>
      <c r="L76" s="123"/>
      <c r="M76" s="57"/>
    </row>
    <row r="77" spans="1:13" ht="15.75">
      <c r="A77" s="23"/>
      <c r="B77" s="24"/>
      <c r="C77" s="32"/>
      <c r="D77" s="33" t="s">
        <v>27</v>
      </c>
      <c r="E77" s="60"/>
      <c r="F77" s="61">
        <f>SUM(F68:F76)</f>
        <v>785</v>
      </c>
      <c r="G77" s="61">
        <f t="shared" ref="G77" si="12">SUM(G68:G76)</f>
        <v>35.437999999999995</v>
      </c>
      <c r="H77" s="61">
        <f t="shared" ref="H77" si="13">SUM(H68:H76)</f>
        <v>25.152000000000001</v>
      </c>
      <c r="I77" s="61">
        <f t="shared" ref="I77" si="14">SUM(I68:I76)</f>
        <v>106.93299999999999</v>
      </c>
      <c r="J77" s="61">
        <f t="shared" ref="J77" si="15">SUM(J68:J76)</f>
        <v>794.55399999999997</v>
      </c>
      <c r="K77" s="80"/>
      <c r="L77" s="124">
        <f>SUM(L68:L76)</f>
        <v>145.05000000000001</v>
      </c>
      <c r="M77" s="57"/>
    </row>
    <row r="78" spans="1:13" ht="16.5" thickBot="1">
      <c r="A78" s="25">
        <f>A60</f>
        <v>1</v>
      </c>
      <c r="B78" s="26">
        <f>B60</f>
        <v>4</v>
      </c>
      <c r="C78" s="148" t="s">
        <v>38</v>
      </c>
      <c r="D78" s="149"/>
      <c r="E78" s="64"/>
      <c r="F78" s="66">
        <f>F67+F77</f>
        <v>1339</v>
      </c>
      <c r="G78" s="66">
        <f t="shared" ref="G78" si="16">G67+G77</f>
        <v>59.897999999999996</v>
      </c>
      <c r="H78" s="66">
        <f t="shared" ref="H78" si="17">H67+H77</f>
        <v>43.540000000000006</v>
      </c>
      <c r="I78" s="66">
        <f t="shared" ref="I78" si="18">I67+I77</f>
        <v>188.755</v>
      </c>
      <c r="J78" s="66">
        <f t="shared" ref="J78" si="19">J67+J77</f>
        <v>1420.194</v>
      </c>
      <c r="K78" s="81"/>
      <c r="L78" s="125">
        <f>L67+L77-0.01</f>
        <v>270.09000000000003</v>
      </c>
      <c r="M78" s="57"/>
    </row>
    <row r="79" spans="1:13" ht="16.5" thickBot="1">
      <c r="A79" s="1">
        <v>1</v>
      </c>
      <c r="B79" s="2">
        <v>5</v>
      </c>
      <c r="C79" s="27" t="s">
        <v>21</v>
      </c>
      <c r="D79" s="28"/>
      <c r="E79" s="14"/>
      <c r="F79" s="107"/>
      <c r="G79" s="107"/>
      <c r="H79" s="107"/>
      <c r="I79" s="107"/>
      <c r="J79" s="107"/>
      <c r="K79" s="112"/>
      <c r="L79" s="122"/>
      <c r="M79" s="57"/>
    </row>
    <row r="80" spans="1:13" ht="15.75">
      <c r="A80" s="3"/>
      <c r="B80" s="4"/>
      <c r="C80" s="29"/>
      <c r="D80" s="28" t="s">
        <v>22</v>
      </c>
      <c r="E80" s="41" t="s">
        <v>99</v>
      </c>
      <c r="F80" s="105">
        <v>210</v>
      </c>
      <c r="G80" s="105">
        <f>F80*19.5/200</f>
        <v>20.475000000000001</v>
      </c>
      <c r="H80" s="105">
        <f>F80*21.2/200</f>
        <v>22.26</v>
      </c>
      <c r="I80" s="105">
        <f>F80*17.7/200</f>
        <v>18.585000000000001</v>
      </c>
      <c r="J80" s="105">
        <f>F80*339.6/200</f>
        <v>356.58</v>
      </c>
      <c r="K80" s="110" t="s">
        <v>101</v>
      </c>
      <c r="L80" s="123">
        <v>82.35</v>
      </c>
      <c r="M80" s="57"/>
    </row>
    <row r="81" spans="1:13" ht="15.75">
      <c r="A81" s="3"/>
      <c r="B81" s="4"/>
      <c r="C81" s="29"/>
      <c r="D81" s="30" t="s">
        <v>23</v>
      </c>
      <c r="E81" s="42" t="s">
        <v>100</v>
      </c>
      <c r="F81" s="42">
        <v>200</v>
      </c>
      <c r="G81" s="105">
        <v>0.1</v>
      </c>
      <c r="H81" s="105">
        <v>0</v>
      </c>
      <c r="I81" s="105">
        <v>9.8000000000000007</v>
      </c>
      <c r="J81" s="105">
        <v>39</v>
      </c>
      <c r="K81" s="110" t="s">
        <v>102</v>
      </c>
      <c r="L81" s="123">
        <v>3.05</v>
      </c>
      <c r="M81" s="57"/>
    </row>
    <row r="82" spans="1:13" ht="15.75">
      <c r="A82" s="3"/>
      <c r="B82" s="4"/>
      <c r="C82" s="29"/>
      <c r="D82" s="30" t="s">
        <v>35</v>
      </c>
      <c r="E82" s="42" t="s">
        <v>26</v>
      </c>
      <c r="F82" s="104">
        <v>51</v>
      </c>
      <c r="G82" s="104">
        <f>F82*6.1/50</f>
        <v>6.2219999999999995</v>
      </c>
      <c r="H82" s="104">
        <f>F82*3.7/50</f>
        <v>3.7740000000000005</v>
      </c>
      <c r="I82" s="104">
        <f>F82*17.5/50</f>
        <v>17.850000000000001</v>
      </c>
      <c r="J82" s="104">
        <f>F82*127.7/50</f>
        <v>130.25399999999999</v>
      </c>
      <c r="K82" s="110">
        <v>44240</v>
      </c>
      <c r="L82" s="123">
        <v>34.72</v>
      </c>
      <c r="M82" s="57"/>
    </row>
    <row r="83" spans="1:13" ht="15.75">
      <c r="A83" s="3"/>
      <c r="B83" s="4"/>
      <c r="C83" s="29"/>
      <c r="D83" s="30" t="s">
        <v>37</v>
      </c>
      <c r="E83" s="13" t="s">
        <v>128</v>
      </c>
      <c r="F83" s="107">
        <v>50</v>
      </c>
      <c r="G83" s="107">
        <f>SUM(F83*2.8/50)</f>
        <v>2.8</v>
      </c>
      <c r="H83" s="107">
        <f>SUM(F83*0.55/50)</f>
        <v>0.55000000000000004</v>
      </c>
      <c r="I83" s="107">
        <f>SUM(F83*24.7/50)</f>
        <v>24.7</v>
      </c>
      <c r="J83" s="107">
        <f>SUM(F83*114.95/50)</f>
        <v>114.95</v>
      </c>
      <c r="K83" s="108" t="s">
        <v>25</v>
      </c>
      <c r="L83" s="123">
        <v>4.92</v>
      </c>
      <c r="M83" s="57"/>
    </row>
    <row r="84" spans="1:13" ht="15.75">
      <c r="A84" s="3"/>
      <c r="B84" s="4"/>
      <c r="C84" s="29"/>
      <c r="D84" s="30"/>
      <c r="E84" s="13"/>
      <c r="F84" s="11"/>
      <c r="G84" s="11"/>
      <c r="H84" s="11"/>
      <c r="I84" s="11"/>
      <c r="J84" s="11"/>
      <c r="K84" s="43"/>
      <c r="L84" s="123"/>
      <c r="M84" s="57"/>
    </row>
    <row r="85" spans="1:13" ht="20.25" customHeight="1">
      <c r="A85" s="23"/>
      <c r="B85" s="24"/>
      <c r="C85" s="32"/>
      <c r="D85" s="33" t="s">
        <v>27</v>
      </c>
      <c r="E85" s="60"/>
      <c r="F85" s="61">
        <f>SUM(F80:F84)</f>
        <v>511</v>
      </c>
      <c r="G85" s="61">
        <f>SUM(G80:G84)</f>
        <v>29.597000000000005</v>
      </c>
      <c r="H85" s="61">
        <f>SUM(H80:H84)</f>
        <v>26.584000000000003</v>
      </c>
      <c r="I85" s="61">
        <f>SUM(I80:I84)</f>
        <v>70.935000000000002</v>
      </c>
      <c r="J85" s="61">
        <f>SUM(J80:J84)</f>
        <v>640.78399999999999</v>
      </c>
      <c r="K85" s="80"/>
      <c r="L85" s="124">
        <f>SUM(L80:L84)</f>
        <v>125.03999999999999</v>
      </c>
      <c r="M85" s="57"/>
    </row>
    <row r="86" spans="1:13" ht="47.25">
      <c r="A86" s="5">
        <f>A79</f>
        <v>1</v>
      </c>
      <c r="B86" s="6">
        <f>B79</f>
        <v>5</v>
      </c>
      <c r="C86" s="34" t="s">
        <v>28</v>
      </c>
      <c r="D86" s="30" t="s">
        <v>29</v>
      </c>
      <c r="E86" s="42" t="s">
        <v>103</v>
      </c>
      <c r="F86" s="105">
        <v>60</v>
      </c>
      <c r="G86" s="105">
        <f>F86*0.6/60</f>
        <v>0.6</v>
      </c>
      <c r="H86" s="105">
        <f>F86*3.6/60</f>
        <v>3.6</v>
      </c>
      <c r="I86" s="105">
        <f>F86*5.76/60</f>
        <v>5.76</v>
      </c>
      <c r="J86" s="105">
        <f>F86*57.84/60</f>
        <v>57.84</v>
      </c>
      <c r="K86" s="108" t="s">
        <v>105</v>
      </c>
      <c r="L86" s="123">
        <v>8.7100000000000009</v>
      </c>
      <c r="M86" s="57"/>
    </row>
    <row r="87" spans="1:13" ht="47.25">
      <c r="A87" s="3"/>
      <c r="B87" s="4"/>
      <c r="C87" s="29"/>
      <c r="D87" s="30" t="s">
        <v>30</v>
      </c>
      <c r="E87" s="42" t="s">
        <v>132</v>
      </c>
      <c r="F87" s="105">
        <v>200</v>
      </c>
      <c r="G87" s="105">
        <f>F87*3.42/200</f>
        <v>3.42</v>
      </c>
      <c r="H87" s="105">
        <f>F87*5.86/200</f>
        <v>5.86</v>
      </c>
      <c r="I87" s="105">
        <f>F87*7.8/200</f>
        <v>7.8</v>
      </c>
      <c r="J87" s="105">
        <f>F87*97.92/200</f>
        <v>97.92</v>
      </c>
      <c r="K87" s="108" t="s">
        <v>106</v>
      </c>
      <c r="L87" s="123">
        <v>26.62</v>
      </c>
      <c r="M87" s="57"/>
    </row>
    <row r="88" spans="1:13" ht="15.75">
      <c r="A88" s="3"/>
      <c r="B88" s="4"/>
      <c r="C88" s="29"/>
      <c r="D88" s="30" t="s">
        <v>31</v>
      </c>
      <c r="E88" s="42" t="s">
        <v>144</v>
      </c>
      <c r="F88" s="104">
        <v>92</v>
      </c>
      <c r="G88" s="107">
        <f>F88*11.7/90</f>
        <v>11.959999999999999</v>
      </c>
      <c r="H88" s="107">
        <f>F88*11.61/90</f>
        <v>11.867999999999999</v>
      </c>
      <c r="I88" s="107">
        <f>F88*5.76/90</f>
        <v>5.8879999999999999</v>
      </c>
      <c r="J88" s="107">
        <f>F88*174.6/90</f>
        <v>178.48</v>
      </c>
      <c r="K88" s="108" t="s">
        <v>107</v>
      </c>
      <c r="L88" s="123">
        <v>70.28</v>
      </c>
      <c r="M88" s="57"/>
    </row>
    <row r="89" spans="1:13" ht="15.75">
      <c r="A89" s="3"/>
      <c r="B89" s="4"/>
      <c r="C89" s="29"/>
      <c r="D89" s="30" t="s">
        <v>32</v>
      </c>
      <c r="E89" s="41" t="s">
        <v>51</v>
      </c>
      <c r="F89" s="107">
        <v>150</v>
      </c>
      <c r="G89" s="107">
        <f>F89*3.17/150</f>
        <v>3.17</v>
      </c>
      <c r="H89" s="107">
        <f>F89*3.6/150</f>
        <v>3.6</v>
      </c>
      <c r="I89" s="107">
        <f>F89*20.4/150</f>
        <v>20.399999999999999</v>
      </c>
      <c r="J89" s="107">
        <f>F89*128/150</f>
        <v>128</v>
      </c>
      <c r="K89" s="108">
        <v>44258</v>
      </c>
      <c r="L89" s="123">
        <v>22.98</v>
      </c>
      <c r="M89" s="57"/>
    </row>
    <row r="90" spans="1:13" ht="15.75">
      <c r="A90" s="3"/>
      <c r="B90" s="4"/>
      <c r="C90" s="29"/>
      <c r="D90" s="30" t="s">
        <v>87</v>
      </c>
      <c r="E90" s="42" t="s">
        <v>54</v>
      </c>
      <c r="F90" s="105">
        <v>200</v>
      </c>
      <c r="G90" s="105">
        <v>0.2</v>
      </c>
      <c r="H90" s="105">
        <v>0.1</v>
      </c>
      <c r="I90" s="105">
        <v>13.1</v>
      </c>
      <c r="J90" s="105">
        <v>54</v>
      </c>
      <c r="K90" s="108" t="s">
        <v>55</v>
      </c>
      <c r="L90" s="123">
        <v>7.66</v>
      </c>
      <c r="M90" s="57"/>
    </row>
    <row r="91" spans="1:13" ht="31.5">
      <c r="A91" s="3"/>
      <c r="B91" s="4"/>
      <c r="C91" s="29"/>
      <c r="D91" s="30" t="s">
        <v>35</v>
      </c>
      <c r="E91" s="13" t="s">
        <v>36</v>
      </c>
      <c r="F91" s="107">
        <v>55</v>
      </c>
      <c r="G91" s="107">
        <f>SUM(F91*3.95/50)</f>
        <v>4.3449999999999998</v>
      </c>
      <c r="H91" s="107">
        <f>SUM(F91*0.5/50)</f>
        <v>0.55000000000000004</v>
      </c>
      <c r="I91" s="107">
        <f>SUM(F91*24.15/50)</f>
        <v>26.565000000000001</v>
      </c>
      <c r="J91" s="107">
        <f>SUM(F91*116.9/50)</f>
        <v>128.59</v>
      </c>
      <c r="K91" s="108" t="s">
        <v>25</v>
      </c>
      <c r="L91" s="123">
        <v>5.85</v>
      </c>
      <c r="M91" s="57"/>
    </row>
    <row r="92" spans="1:13" ht="15.75">
      <c r="A92" s="3"/>
      <c r="B92" s="4"/>
      <c r="C92" s="29"/>
      <c r="D92" s="30" t="s">
        <v>37</v>
      </c>
      <c r="E92" s="42" t="s">
        <v>128</v>
      </c>
      <c r="F92" s="107">
        <v>30</v>
      </c>
      <c r="G92" s="107">
        <f>SUM(F92*1.68/30)</f>
        <v>1.68</v>
      </c>
      <c r="H92" s="107">
        <f>SUM(F92*0.33/30)</f>
        <v>0.33</v>
      </c>
      <c r="I92" s="107">
        <f>SUM(F92*14.82/30)</f>
        <v>14.82</v>
      </c>
      <c r="J92" s="107">
        <f>SUM(F92*68.97/30)</f>
        <v>68.97</v>
      </c>
      <c r="K92" s="108" t="s">
        <v>25</v>
      </c>
      <c r="L92" s="123">
        <v>2.95</v>
      </c>
      <c r="M92" s="57"/>
    </row>
    <row r="93" spans="1:13" ht="15.75">
      <c r="A93" s="3"/>
      <c r="B93" s="4"/>
      <c r="C93" s="29"/>
      <c r="D93" s="31"/>
      <c r="E93" s="58"/>
      <c r="F93" s="65"/>
      <c r="G93" s="65"/>
      <c r="H93" s="65"/>
      <c r="I93" s="65"/>
      <c r="J93" s="65"/>
      <c r="K93" s="43"/>
      <c r="L93" s="123"/>
      <c r="M93" s="57"/>
    </row>
    <row r="94" spans="1:13" ht="15.75">
      <c r="A94" s="3"/>
      <c r="B94" s="4"/>
      <c r="C94" s="29"/>
      <c r="D94" s="31"/>
      <c r="E94" s="58"/>
      <c r="F94" s="65"/>
      <c r="G94" s="65"/>
      <c r="H94" s="65"/>
      <c r="I94" s="65"/>
      <c r="J94" s="65"/>
      <c r="K94" s="43"/>
      <c r="L94" s="123"/>
      <c r="M94" s="57"/>
    </row>
    <row r="95" spans="1:13" ht="21" customHeight="1">
      <c r="A95" s="23"/>
      <c r="B95" s="24"/>
      <c r="C95" s="32"/>
      <c r="D95" s="33" t="s">
        <v>27</v>
      </c>
      <c r="E95" s="60"/>
      <c r="F95" s="61">
        <f>SUM(F86:F94)</f>
        <v>787</v>
      </c>
      <c r="G95" s="61">
        <f>SUM(G86:G94)</f>
        <v>25.374999999999996</v>
      </c>
      <c r="H95" s="61">
        <f t="shared" ref="H95" si="20">SUM(H86:H94)</f>
        <v>25.908000000000001</v>
      </c>
      <c r="I95" s="61">
        <f t="shared" ref="I95" si="21">SUM(I86:I94)</f>
        <v>94.332999999999998</v>
      </c>
      <c r="J95" s="61">
        <f t="shared" ref="J95" si="22">SUM(J86:J94)</f>
        <v>713.80000000000007</v>
      </c>
      <c r="K95" s="80"/>
      <c r="L95" s="124">
        <f>SUM(L86:L94)</f>
        <v>145.04999999999998</v>
      </c>
      <c r="M95" s="57"/>
    </row>
    <row r="96" spans="1:13" ht="24.75" customHeight="1" thickBot="1">
      <c r="A96" s="25">
        <f>A79</f>
        <v>1</v>
      </c>
      <c r="B96" s="26">
        <f>B79</f>
        <v>5</v>
      </c>
      <c r="C96" s="148" t="s">
        <v>38</v>
      </c>
      <c r="D96" s="149"/>
      <c r="E96" s="64"/>
      <c r="F96" s="66">
        <f>F85+F95</f>
        <v>1298</v>
      </c>
      <c r="G96" s="66">
        <f>G85+G95</f>
        <v>54.972000000000001</v>
      </c>
      <c r="H96" s="66">
        <f t="shared" ref="H96" si="23">H85+H95</f>
        <v>52.492000000000004</v>
      </c>
      <c r="I96" s="66">
        <f t="shared" ref="I96" si="24">I85+I95</f>
        <v>165.268</v>
      </c>
      <c r="J96" s="66">
        <f>J85+J95+0.01</f>
        <v>1354.5940000000001</v>
      </c>
      <c r="K96" s="81"/>
      <c r="L96" s="125">
        <f t="shared" ref="L96" si="25">L85+L95</f>
        <v>270.08999999999997</v>
      </c>
      <c r="M96" s="57"/>
    </row>
    <row r="97" spans="1:13" ht="31.5">
      <c r="A97" s="1">
        <v>2</v>
      </c>
      <c r="B97" s="2">
        <v>1</v>
      </c>
      <c r="C97" s="27" t="s">
        <v>21</v>
      </c>
      <c r="D97" s="28" t="s">
        <v>22</v>
      </c>
      <c r="E97" s="42" t="s">
        <v>108</v>
      </c>
      <c r="F97" s="105">
        <v>200</v>
      </c>
      <c r="G97" s="105">
        <f>F97*5.5/200</f>
        <v>5.5</v>
      </c>
      <c r="H97" s="105">
        <f>F97*9.9/200</f>
        <v>9.9</v>
      </c>
      <c r="I97" s="105">
        <f>F97*39.26/200</f>
        <v>39.26</v>
      </c>
      <c r="J97" s="105">
        <f>F97*268.14/200</f>
        <v>268.14</v>
      </c>
      <c r="K97" s="106">
        <v>44443</v>
      </c>
      <c r="L97" s="122">
        <v>33.53</v>
      </c>
      <c r="M97" s="57"/>
    </row>
    <row r="98" spans="1:13" ht="15.75">
      <c r="A98" s="3"/>
      <c r="B98" s="4"/>
      <c r="C98" s="29"/>
      <c r="D98" s="31" t="s">
        <v>58</v>
      </c>
      <c r="E98" s="42" t="s">
        <v>76</v>
      </c>
      <c r="F98" s="107">
        <v>100</v>
      </c>
      <c r="G98" s="107">
        <v>0.4</v>
      </c>
      <c r="H98" s="107">
        <v>0.4</v>
      </c>
      <c r="I98" s="107">
        <v>10.95</v>
      </c>
      <c r="J98" s="107">
        <v>49</v>
      </c>
      <c r="K98" s="108" t="s">
        <v>25</v>
      </c>
      <c r="L98" s="123">
        <v>32.479999999999997</v>
      </c>
      <c r="M98" s="57"/>
    </row>
    <row r="99" spans="1:13" ht="31.5">
      <c r="A99" s="3"/>
      <c r="B99" s="4"/>
      <c r="C99" s="29"/>
      <c r="D99" s="30" t="s">
        <v>23</v>
      </c>
      <c r="E99" s="42" t="s">
        <v>24</v>
      </c>
      <c r="F99" s="105">
        <v>200</v>
      </c>
      <c r="G99" s="105">
        <v>3.1</v>
      </c>
      <c r="H99" s="105">
        <v>3.2</v>
      </c>
      <c r="I99" s="105">
        <v>14.4</v>
      </c>
      <c r="J99" s="105">
        <v>99</v>
      </c>
      <c r="K99" s="108" t="s">
        <v>57</v>
      </c>
      <c r="L99" s="123">
        <v>21.99</v>
      </c>
      <c r="M99" s="57"/>
    </row>
    <row r="100" spans="1:13" ht="15.75">
      <c r="A100" s="3"/>
      <c r="B100" s="4"/>
      <c r="C100" s="29"/>
      <c r="D100" s="31" t="s">
        <v>35</v>
      </c>
      <c r="E100" s="42" t="s">
        <v>26</v>
      </c>
      <c r="F100" s="104">
        <v>50</v>
      </c>
      <c r="G100" s="104">
        <f>F100*6.1/50</f>
        <v>6.1</v>
      </c>
      <c r="H100" s="104">
        <f>F100*3.7/50</f>
        <v>3.7</v>
      </c>
      <c r="I100" s="104">
        <f>F100*17.5/50</f>
        <v>17.5</v>
      </c>
      <c r="J100" s="104">
        <f>F100*127.7/50</f>
        <v>127.7</v>
      </c>
      <c r="K100" s="110">
        <v>44240</v>
      </c>
      <c r="L100" s="123">
        <v>34.090000000000003</v>
      </c>
      <c r="M100" s="57"/>
    </row>
    <row r="101" spans="1:13" ht="15.75">
      <c r="A101" s="3"/>
      <c r="B101" s="4"/>
      <c r="C101" s="29"/>
      <c r="D101" s="30" t="s">
        <v>37</v>
      </c>
      <c r="E101" s="42" t="s">
        <v>128</v>
      </c>
      <c r="F101" s="107">
        <v>30</v>
      </c>
      <c r="G101" s="107">
        <f>SUM(F101*1.68/30)</f>
        <v>1.68</v>
      </c>
      <c r="H101" s="107">
        <f>SUM(F101*0.33/30)</f>
        <v>0.33</v>
      </c>
      <c r="I101" s="107">
        <f>SUM(F101*14.82/30)</f>
        <v>14.82</v>
      </c>
      <c r="J101" s="107">
        <f>SUM(F101*68.97/30)</f>
        <v>68.97</v>
      </c>
      <c r="K101" s="108" t="s">
        <v>25</v>
      </c>
      <c r="L101" s="123">
        <v>2.95</v>
      </c>
      <c r="M101" s="57"/>
    </row>
    <row r="102" spans="1:13" ht="15.75">
      <c r="A102" s="3"/>
      <c r="B102" s="4"/>
      <c r="C102" s="29"/>
      <c r="D102" s="31"/>
      <c r="E102" s="58"/>
      <c r="F102" s="111"/>
      <c r="G102" s="111"/>
      <c r="H102" s="111"/>
      <c r="I102" s="111"/>
      <c r="J102" s="111"/>
      <c r="K102" s="108"/>
      <c r="L102" s="123"/>
      <c r="M102" s="57"/>
    </row>
    <row r="103" spans="1:13" ht="15.75">
      <c r="A103" s="23"/>
      <c r="B103" s="24"/>
      <c r="C103" s="32"/>
      <c r="D103" s="33" t="s">
        <v>27</v>
      </c>
      <c r="E103" s="60"/>
      <c r="F103" s="61">
        <f t="shared" ref="F103:J103" si="26">SUM(F97:F102)</f>
        <v>580</v>
      </c>
      <c r="G103" s="61">
        <f t="shared" si="26"/>
        <v>16.78</v>
      </c>
      <c r="H103" s="61">
        <f t="shared" si="26"/>
        <v>17.529999999999998</v>
      </c>
      <c r="I103" s="61">
        <f t="shared" si="26"/>
        <v>96.93</v>
      </c>
      <c r="J103" s="61">
        <f t="shared" si="26"/>
        <v>612.81000000000006</v>
      </c>
      <c r="K103" s="80"/>
      <c r="L103" s="124">
        <f>SUM(L97:L102)</f>
        <v>125.03999999999999</v>
      </c>
      <c r="M103" s="57"/>
    </row>
    <row r="104" spans="1:13" ht="47.25">
      <c r="A104" s="5">
        <f>A97</f>
        <v>2</v>
      </c>
      <c r="B104" s="6">
        <f>B97</f>
        <v>1</v>
      </c>
      <c r="C104" s="34" t="s">
        <v>28</v>
      </c>
      <c r="D104" s="30" t="s">
        <v>29</v>
      </c>
      <c r="E104" s="14" t="s">
        <v>155</v>
      </c>
      <c r="F104" s="107">
        <v>60</v>
      </c>
      <c r="G104" s="107">
        <f>F104*1.5/60</f>
        <v>1.5</v>
      </c>
      <c r="H104" s="107">
        <f>F104*6/60</f>
        <v>6</v>
      </c>
      <c r="I104" s="107">
        <f>F104*4.25/60</f>
        <v>4.25</v>
      </c>
      <c r="J104" s="107">
        <f>F104*76.8/60</f>
        <v>76.8</v>
      </c>
      <c r="K104" s="110">
        <v>44409</v>
      </c>
      <c r="L104" s="129">
        <v>16.23</v>
      </c>
      <c r="M104" s="57"/>
    </row>
    <row r="105" spans="1:13" ht="31.5">
      <c r="A105" s="3"/>
      <c r="B105" s="4"/>
      <c r="C105" s="29"/>
      <c r="D105" s="30" t="s">
        <v>30</v>
      </c>
      <c r="E105" s="14" t="s">
        <v>142</v>
      </c>
      <c r="F105" s="107">
        <v>200</v>
      </c>
      <c r="G105" s="107">
        <f>F105*4.46/200</f>
        <v>4.46</v>
      </c>
      <c r="H105" s="107">
        <f>F105*4.66/200</f>
        <v>4.66</v>
      </c>
      <c r="I105" s="107">
        <f>F105*18.04/200</f>
        <v>18.04</v>
      </c>
      <c r="J105" s="107">
        <f>F105*132/200</f>
        <v>132</v>
      </c>
      <c r="K105" s="110" t="s">
        <v>82</v>
      </c>
      <c r="L105" s="129">
        <v>32.880000000000003</v>
      </c>
      <c r="M105" s="57"/>
    </row>
    <row r="106" spans="1:13" ht="15.75">
      <c r="A106" s="3"/>
      <c r="B106" s="4"/>
      <c r="C106" s="29"/>
      <c r="D106" s="30" t="s">
        <v>81</v>
      </c>
      <c r="E106" s="13" t="s">
        <v>75</v>
      </c>
      <c r="F106" s="107">
        <v>20</v>
      </c>
      <c r="G106" s="107">
        <f>F106*1.71/20</f>
        <v>1.7100000000000002</v>
      </c>
      <c r="H106" s="107">
        <f>F106*0.17/20</f>
        <v>0.17</v>
      </c>
      <c r="I106" s="107">
        <f>F106*10.75/20</f>
        <v>10.75</v>
      </c>
      <c r="J106" s="107">
        <f>F106*51.4/20</f>
        <v>51.4</v>
      </c>
      <c r="K106" s="110" t="s">
        <v>83</v>
      </c>
      <c r="L106" s="129">
        <v>2.5499999999999998</v>
      </c>
      <c r="M106" s="57"/>
    </row>
    <row r="107" spans="1:13" ht="15.75">
      <c r="A107" s="3"/>
      <c r="B107" s="4"/>
      <c r="C107" s="29"/>
      <c r="D107" s="30" t="s">
        <v>31</v>
      </c>
      <c r="E107" s="13" t="s">
        <v>40</v>
      </c>
      <c r="F107" s="107">
        <v>94</v>
      </c>
      <c r="G107" s="107">
        <f>F107*13.32/90</f>
        <v>13.911999999999999</v>
      </c>
      <c r="H107" s="107">
        <f>F107*11.16/90</f>
        <v>11.655999999999999</v>
      </c>
      <c r="I107" s="107">
        <f>F107*8.19/90</f>
        <v>8.5539999999999985</v>
      </c>
      <c r="J107" s="107">
        <f>F107*186.3/90</f>
        <v>194.58</v>
      </c>
      <c r="K107" s="108">
        <v>44325</v>
      </c>
      <c r="L107" s="129">
        <v>68.400000000000006</v>
      </c>
      <c r="M107" s="57"/>
    </row>
    <row r="108" spans="1:13" ht="15.75">
      <c r="A108" s="3"/>
      <c r="B108" s="4"/>
      <c r="C108" s="29"/>
      <c r="D108" s="30" t="s">
        <v>32</v>
      </c>
      <c r="E108" s="14" t="s">
        <v>46</v>
      </c>
      <c r="F108" s="107">
        <v>150</v>
      </c>
      <c r="G108" s="107">
        <f>F108*6.63/150</f>
        <v>6.63</v>
      </c>
      <c r="H108" s="107">
        <f>F108*4.44/150</f>
        <v>4.4400000000000004</v>
      </c>
      <c r="I108" s="107">
        <f>F108*28.8/150</f>
        <v>28.8</v>
      </c>
      <c r="J108" s="107">
        <f>F108*181.5/150</f>
        <v>181.5</v>
      </c>
      <c r="K108" s="110" t="s">
        <v>63</v>
      </c>
      <c r="L108" s="129">
        <v>9.36</v>
      </c>
      <c r="M108" s="57"/>
    </row>
    <row r="109" spans="1:13" ht="15.75">
      <c r="A109" s="3"/>
      <c r="B109" s="4"/>
      <c r="C109" s="29"/>
      <c r="D109" s="30" t="s">
        <v>87</v>
      </c>
      <c r="E109" s="41" t="s">
        <v>109</v>
      </c>
      <c r="F109" s="105">
        <v>200</v>
      </c>
      <c r="G109" s="105">
        <v>1</v>
      </c>
      <c r="H109" s="105">
        <v>0</v>
      </c>
      <c r="I109" s="105">
        <v>27.4</v>
      </c>
      <c r="J109" s="105">
        <v>114</v>
      </c>
      <c r="K109" s="110" t="s">
        <v>110</v>
      </c>
      <c r="L109" s="129">
        <v>12.38</v>
      </c>
      <c r="M109" s="57"/>
    </row>
    <row r="110" spans="1:13" ht="15.75">
      <c r="A110" s="3"/>
      <c r="B110" s="4"/>
      <c r="C110" s="29"/>
      <c r="D110" s="30" t="s">
        <v>37</v>
      </c>
      <c r="E110" s="13" t="s">
        <v>128</v>
      </c>
      <c r="F110" s="107">
        <v>33</v>
      </c>
      <c r="G110" s="107">
        <f>SUM(F110*1.68/30)</f>
        <v>1.8479999999999999</v>
      </c>
      <c r="H110" s="107">
        <f>SUM(F110*0.33/30)</f>
        <v>0.36300000000000004</v>
      </c>
      <c r="I110" s="107">
        <f>SUM(F110*14.82/30)</f>
        <v>16.302</v>
      </c>
      <c r="J110" s="107">
        <f>SUM(F110*68.97/30)</f>
        <v>75.86699999999999</v>
      </c>
      <c r="K110" s="110" t="s">
        <v>39</v>
      </c>
      <c r="L110" s="129">
        <v>3.25</v>
      </c>
      <c r="M110" s="57"/>
    </row>
    <row r="111" spans="1:13" ht="15.75">
      <c r="A111" s="3"/>
      <c r="B111" s="4"/>
      <c r="C111" s="29"/>
      <c r="D111" s="31"/>
      <c r="E111" s="14"/>
      <c r="F111" s="11"/>
      <c r="G111" s="11"/>
      <c r="H111" s="11"/>
      <c r="I111" s="11"/>
      <c r="J111" s="11"/>
      <c r="K111" s="12"/>
      <c r="L111" s="129"/>
      <c r="M111" s="57"/>
    </row>
    <row r="112" spans="1:13" ht="15.75">
      <c r="A112" s="23"/>
      <c r="B112" s="24"/>
      <c r="C112" s="32"/>
      <c r="D112" s="33" t="s">
        <v>27</v>
      </c>
      <c r="E112" s="60"/>
      <c r="F112" s="61">
        <f t="shared" ref="F112:J112" si="27">SUM(F104:F111)</f>
        <v>757</v>
      </c>
      <c r="G112" s="61">
        <f t="shared" si="27"/>
        <v>31.06</v>
      </c>
      <c r="H112" s="61">
        <f t="shared" si="27"/>
        <v>27.288999999999998</v>
      </c>
      <c r="I112" s="61">
        <f>SUM(I104:I111)-0.01</f>
        <v>114.08599999999997</v>
      </c>
      <c r="J112" s="61">
        <f t="shared" si="27"/>
        <v>826.14699999999993</v>
      </c>
      <c r="K112" s="80"/>
      <c r="L112" s="124">
        <f>SUM(L104:L111)</f>
        <v>145.05000000000001</v>
      </c>
      <c r="M112" s="57"/>
    </row>
    <row r="113" spans="1:16" ht="16.5" thickBot="1">
      <c r="A113" s="25">
        <f>A97</f>
        <v>2</v>
      </c>
      <c r="B113" s="26">
        <f>B97</f>
        <v>1</v>
      </c>
      <c r="C113" s="148" t="s">
        <v>38</v>
      </c>
      <c r="D113" s="149"/>
      <c r="E113" s="64"/>
      <c r="F113" s="66">
        <f>F103+F112</f>
        <v>1337</v>
      </c>
      <c r="G113" s="66">
        <f>G103+G112</f>
        <v>47.84</v>
      </c>
      <c r="H113" s="66">
        <f>H103+H112</f>
        <v>44.818999999999996</v>
      </c>
      <c r="I113" s="66">
        <f>I103+I112</f>
        <v>211.01599999999996</v>
      </c>
      <c r="J113" s="66">
        <f>J103+J112</f>
        <v>1438.9569999999999</v>
      </c>
      <c r="K113" s="81"/>
      <c r="L113" s="125">
        <f>L103+L112</f>
        <v>270.09000000000003</v>
      </c>
      <c r="M113" s="57"/>
    </row>
    <row r="114" spans="1:16" ht="47.25">
      <c r="A114" s="7">
        <v>2</v>
      </c>
      <c r="B114" s="4">
        <v>2</v>
      </c>
      <c r="C114" s="27" t="s">
        <v>21</v>
      </c>
      <c r="D114" s="28" t="s">
        <v>22</v>
      </c>
      <c r="E114" s="13" t="s">
        <v>89</v>
      </c>
      <c r="F114" s="107">
        <v>220</v>
      </c>
      <c r="G114" s="107">
        <f>F114*30.42/180</f>
        <v>37.18</v>
      </c>
      <c r="H114" s="107">
        <f>F114*17.28/180</f>
        <v>21.12</v>
      </c>
      <c r="I114" s="107">
        <f>F114*23.76/180</f>
        <v>29.040000000000003</v>
      </c>
      <c r="J114" s="107">
        <f>F114*372.6/180</f>
        <v>455.4</v>
      </c>
      <c r="K114" s="106">
        <v>4443</v>
      </c>
      <c r="L114" s="122">
        <v>89.53</v>
      </c>
      <c r="M114" s="57"/>
      <c r="P114" s="46">
        <v>23.76</v>
      </c>
    </row>
    <row r="115" spans="1:16" ht="15.75">
      <c r="A115" s="7"/>
      <c r="B115" s="4"/>
      <c r="C115" s="29"/>
      <c r="D115" s="30" t="s">
        <v>35</v>
      </c>
      <c r="E115" s="13" t="s">
        <v>62</v>
      </c>
      <c r="F115" s="107">
        <v>71</v>
      </c>
      <c r="G115" s="107">
        <f>F115*4.48/70</f>
        <v>4.5440000000000005</v>
      </c>
      <c r="H115" s="107">
        <f>F115*10.78/70</f>
        <v>10.933999999999999</v>
      </c>
      <c r="I115" s="107">
        <f>F115*27.3/70</f>
        <v>27.689999999999998</v>
      </c>
      <c r="J115" s="107">
        <f>F115*224/70</f>
        <v>227.2</v>
      </c>
      <c r="K115" s="108">
        <v>44209</v>
      </c>
      <c r="L115" s="123">
        <v>26.49</v>
      </c>
      <c r="M115" s="57"/>
    </row>
    <row r="116" spans="1:16" ht="15.75">
      <c r="A116" s="7"/>
      <c r="B116" s="4"/>
      <c r="C116" s="29"/>
      <c r="D116" s="30" t="s">
        <v>23</v>
      </c>
      <c r="E116" s="13" t="s">
        <v>60</v>
      </c>
      <c r="F116" s="13">
        <v>200</v>
      </c>
      <c r="G116" s="107">
        <v>0.2</v>
      </c>
      <c r="H116" s="107">
        <v>0</v>
      </c>
      <c r="I116" s="107">
        <v>13.7</v>
      </c>
      <c r="J116" s="107">
        <v>56</v>
      </c>
      <c r="K116" s="108" t="s">
        <v>61</v>
      </c>
      <c r="L116" s="123">
        <v>3.91</v>
      </c>
      <c r="M116" s="57"/>
    </row>
    <row r="117" spans="1:16" ht="15.75">
      <c r="A117" s="7"/>
      <c r="B117" s="4"/>
      <c r="C117" s="29"/>
      <c r="D117" s="30" t="s">
        <v>37</v>
      </c>
      <c r="E117" s="13" t="s">
        <v>128</v>
      </c>
      <c r="F117" s="107">
        <v>52</v>
      </c>
      <c r="G117" s="107">
        <f>SUM(F117*2.8/50)</f>
        <v>2.9119999999999999</v>
      </c>
      <c r="H117" s="107">
        <f>SUM(F117*0.55/50)</f>
        <v>0.57200000000000006</v>
      </c>
      <c r="I117" s="107">
        <f>SUM(F117*24.7/50)</f>
        <v>25.687999999999999</v>
      </c>
      <c r="J117" s="107">
        <f>SUM(F117*114.95/50)</f>
        <v>119.54800000000002</v>
      </c>
      <c r="K117" s="108" t="s">
        <v>25</v>
      </c>
      <c r="L117" s="123">
        <v>5.12</v>
      </c>
      <c r="M117" s="57"/>
    </row>
    <row r="118" spans="1:16" ht="15.75">
      <c r="A118" s="7"/>
      <c r="B118" s="4"/>
      <c r="C118" s="29"/>
      <c r="D118" s="31"/>
      <c r="E118" s="13"/>
      <c r="F118" s="107"/>
      <c r="G118" s="107"/>
      <c r="H118" s="107"/>
      <c r="I118" s="107"/>
      <c r="J118" s="107"/>
      <c r="K118" s="108"/>
      <c r="L118" s="123"/>
      <c r="M118" s="57"/>
    </row>
    <row r="119" spans="1:16" ht="15.75">
      <c r="A119" s="7"/>
      <c r="B119" s="4"/>
      <c r="C119" s="29"/>
      <c r="D119" s="31"/>
      <c r="E119" s="58"/>
      <c r="F119" s="65"/>
      <c r="G119" s="65"/>
      <c r="H119" s="65"/>
      <c r="I119" s="65"/>
      <c r="J119" s="65"/>
      <c r="K119" s="43"/>
      <c r="L119" s="123"/>
      <c r="M119" s="57"/>
    </row>
    <row r="120" spans="1:16" ht="15.75">
      <c r="A120" s="35"/>
      <c r="B120" s="24"/>
      <c r="C120" s="32"/>
      <c r="D120" s="33" t="s">
        <v>27</v>
      </c>
      <c r="E120" s="60"/>
      <c r="F120" s="61">
        <f>SUM(F114:F119)</f>
        <v>543</v>
      </c>
      <c r="G120" s="61">
        <f>SUM(G114:G119)</f>
        <v>44.836000000000006</v>
      </c>
      <c r="H120" s="61">
        <f>SUM(H114:H119)</f>
        <v>32.626000000000005</v>
      </c>
      <c r="I120" s="61">
        <f>SUM(I114:I119)</f>
        <v>96.118000000000009</v>
      </c>
      <c r="J120" s="61">
        <f>SUM(J114:J119)</f>
        <v>858.14799999999991</v>
      </c>
      <c r="K120" s="80"/>
      <c r="L120" s="124">
        <f>SUM(L114:L119)-0.01</f>
        <v>125.03999999999999</v>
      </c>
      <c r="M120" s="57"/>
    </row>
    <row r="121" spans="1:16" ht="15.75">
      <c r="A121" s="6">
        <f>A114</f>
        <v>2</v>
      </c>
      <c r="B121" s="6">
        <f>B114</f>
        <v>2</v>
      </c>
      <c r="C121" s="34" t="s">
        <v>28</v>
      </c>
      <c r="D121" s="30" t="s">
        <v>29</v>
      </c>
      <c r="E121" s="14" t="s">
        <v>65</v>
      </c>
      <c r="F121" s="107">
        <v>60</v>
      </c>
      <c r="G121" s="107">
        <f>F121*1.3/100</f>
        <v>0.78</v>
      </c>
      <c r="H121" s="107">
        <f>F121*8.9/100</f>
        <v>5.34</v>
      </c>
      <c r="I121" s="107">
        <f>F121*6.7/100</f>
        <v>4.0199999999999996</v>
      </c>
      <c r="J121" s="107">
        <f>F121*112/100</f>
        <v>67.2</v>
      </c>
      <c r="K121" s="108">
        <v>72</v>
      </c>
      <c r="L121" s="123">
        <v>11.24</v>
      </c>
      <c r="M121" s="57"/>
    </row>
    <row r="122" spans="1:16" ht="31.5">
      <c r="A122" s="7"/>
      <c r="B122" s="4"/>
      <c r="C122" s="29"/>
      <c r="D122" s="30" t="s">
        <v>30</v>
      </c>
      <c r="E122" s="38" t="s">
        <v>150</v>
      </c>
      <c r="F122" s="107">
        <v>200</v>
      </c>
      <c r="G122" s="107">
        <f>F122*3.9/200</f>
        <v>3.9</v>
      </c>
      <c r="H122" s="107">
        <f>F122*6.02/200</f>
        <v>6.02</v>
      </c>
      <c r="I122" s="107">
        <f>F122*13.88/200</f>
        <v>13.88</v>
      </c>
      <c r="J122" s="107">
        <f>F122*125.6/200</f>
        <v>125.6</v>
      </c>
      <c r="K122" s="108">
        <v>44502</v>
      </c>
      <c r="L122" s="123">
        <v>33.520000000000003</v>
      </c>
      <c r="M122" s="57"/>
    </row>
    <row r="123" spans="1:16" ht="31.5">
      <c r="A123" s="7"/>
      <c r="B123" s="4"/>
      <c r="C123" s="29"/>
      <c r="D123" s="30" t="s">
        <v>31</v>
      </c>
      <c r="E123" s="42" t="s">
        <v>104</v>
      </c>
      <c r="F123" s="104">
        <v>91</v>
      </c>
      <c r="G123" s="107">
        <f>F123*11.7/90</f>
        <v>11.83</v>
      </c>
      <c r="H123" s="107">
        <f>F123*11.61/90</f>
        <v>11.739000000000001</v>
      </c>
      <c r="I123" s="107">
        <f>F123*5.76/90</f>
        <v>5.8239999999999998</v>
      </c>
      <c r="J123" s="107">
        <f>F123*174.6/90</f>
        <v>176.54</v>
      </c>
      <c r="K123" s="110" t="s">
        <v>107</v>
      </c>
      <c r="L123" s="123">
        <v>69.5</v>
      </c>
      <c r="M123" s="57"/>
    </row>
    <row r="124" spans="1:16" ht="15.75">
      <c r="A124" s="7"/>
      <c r="B124" s="4"/>
      <c r="C124" s="29"/>
      <c r="D124" s="30" t="s">
        <v>32</v>
      </c>
      <c r="E124" s="42" t="s">
        <v>33</v>
      </c>
      <c r="F124" s="104">
        <v>150</v>
      </c>
      <c r="G124" s="107">
        <f>F124*5.33/150</f>
        <v>5.33</v>
      </c>
      <c r="H124" s="107">
        <f>F124*3/150</f>
        <v>3</v>
      </c>
      <c r="I124" s="107">
        <f>F124*32.4/150</f>
        <v>32.4</v>
      </c>
      <c r="J124" s="107">
        <f>F124*177.75/150</f>
        <v>177.75</v>
      </c>
      <c r="K124" s="110" t="s">
        <v>68</v>
      </c>
      <c r="L124" s="123">
        <v>9.5500000000000007</v>
      </c>
      <c r="M124" s="57"/>
    </row>
    <row r="125" spans="1:16" ht="15.75">
      <c r="A125" s="7"/>
      <c r="B125" s="4"/>
      <c r="C125" s="29"/>
      <c r="D125" s="30" t="s">
        <v>87</v>
      </c>
      <c r="E125" s="42" t="s">
        <v>111</v>
      </c>
      <c r="F125" s="105">
        <v>200</v>
      </c>
      <c r="G125" s="105">
        <v>0.4</v>
      </c>
      <c r="H125" s="105">
        <v>0.4</v>
      </c>
      <c r="I125" s="105">
        <v>18.7</v>
      </c>
      <c r="J125" s="105">
        <v>80</v>
      </c>
      <c r="K125" s="110" t="s">
        <v>112</v>
      </c>
      <c r="L125" s="123">
        <v>14.71</v>
      </c>
      <c r="M125" s="57"/>
    </row>
    <row r="126" spans="1:16" ht="31.5">
      <c r="A126" s="7"/>
      <c r="B126" s="4"/>
      <c r="C126" s="29"/>
      <c r="D126" s="30" t="s">
        <v>35</v>
      </c>
      <c r="E126" s="13" t="s">
        <v>36</v>
      </c>
      <c r="F126" s="107">
        <v>30</v>
      </c>
      <c r="G126" s="107">
        <f>SUM(F126*2.37/30)</f>
        <v>2.37</v>
      </c>
      <c r="H126" s="107">
        <f>SUM(F126*0.3/30)</f>
        <v>0.3</v>
      </c>
      <c r="I126" s="107">
        <f>SUM(F126*14.49/30)</f>
        <v>14.49</v>
      </c>
      <c r="J126" s="107">
        <f>SUM(F126*70.14/30)</f>
        <v>70.14</v>
      </c>
      <c r="K126" s="110" t="s">
        <v>25</v>
      </c>
      <c r="L126" s="123">
        <v>3.19</v>
      </c>
      <c r="M126" s="57"/>
    </row>
    <row r="127" spans="1:16" ht="15.75">
      <c r="A127" s="7"/>
      <c r="B127" s="4"/>
      <c r="C127" s="29"/>
      <c r="D127" s="30" t="s">
        <v>37</v>
      </c>
      <c r="E127" s="42" t="s">
        <v>128</v>
      </c>
      <c r="F127" s="107">
        <v>34</v>
      </c>
      <c r="G127" s="107">
        <f>SUM(F127*1.68/30)</f>
        <v>1.9039999999999999</v>
      </c>
      <c r="H127" s="107">
        <f>SUM(F127*0.33/30)</f>
        <v>0.374</v>
      </c>
      <c r="I127" s="107">
        <f>SUM(F127*14.82/30)</f>
        <v>16.795999999999999</v>
      </c>
      <c r="J127" s="107">
        <f>SUM(F127*68.97/30)</f>
        <v>78.165999999999997</v>
      </c>
      <c r="K127" s="110" t="s">
        <v>25</v>
      </c>
      <c r="L127" s="123">
        <v>3.35</v>
      </c>
      <c r="M127" s="57"/>
    </row>
    <row r="128" spans="1:16" ht="15.75">
      <c r="A128" s="7"/>
      <c r="B128" s="4"/>
      <c r="C128" s="29"/>
      <c r="D128" s="31"/>
      <c r="E128" s="58"/>
      <c r="F128" s="65"/>
      <c r="G128" s="65"/>
      <c r="H128" s="65"/>
      <c r="I128" s="65"/>
      <c r="J128" s="65"/>
      <c r="K128" s="43"/>
      <c r="L128" s="123"/>
      <c r="M128" s="57"/>
    </row>
    <row r="129" spans="1:13" ht="15.75">
      <c r="A129" s="7"/>
      <c r="B129" s="4"/>
      <c r="C129" s="29"/>
      <c r="D129" s="31"/>
      <c r="E129" s="58"/>
      <c r="F129" s="65"/>
      <c r="G129" s="65"/>
      <c r="H129" s="65"/>
      <c r="I129" s="65"/>
      <c r="J129" s="65"/>
      <c r="K129" s="43"/>
      <c r="L129" s="123"/>
      <c r="M129" s="57"/>
    </row>
    <row r="130" spans="1:13" ht="15.75">
      <c r="A130" s="35"/>
      <c r="B130" s="24"/>
      <c r="C130" s="32"/>
      <c r="D130" s="33" t="s">
        <v>27</v>
      </c>
      <c r="E130" s="60"/>
      <c r="F130" s="61">
        <f>SUM(F121:F129)</f>
        <v>765</v>
      </c>
      <c r="G130" s="61">
        <f>SUM(G121:G129)</f>
        <v>26.513999999999996</v>
      </c>
      <c r="H130" s="61">
        <f t="shared" ref="H130:J130" si="28">SUM(H121:H129)</f>
        <v>27.172999999999998</v>
      </c>
      <c r="I130" s="61">
        <f t="shared" si="28"/>
        <v>106.10999999999999</v>
      </c>
      <c r="J130" s="61">
        <f t="shared" si="28"/>
        <v>775.39599999999996</v>
      </c>
      <c r="K130" s="80"/>
      <c r="L130" s="124">
        <f>SUM(L121:L129)-0.01</f>
        <v>145.05000000000001</v>
      </c>
      <c r="M130" s="57"/>
    </row>
    <row r="131" spans="1:13" ht="16.5" thickBot="1">
      <c r="A131" s="36">
        <f>A114</f>
        <v>2</v>
      </c>
      <c r="B131" s="36">
        <f>B114</f>
        <v>2</v>
      </c>
      <c r="C131" s="148" t="s">
        <v>38</v>
      </c>
      <c r="D131" s="149"/>
      <c r="E131" s="64"/>
      <c r="F131" s="66">
        <f>F120+F130</f>
        <v>1308</v>
      </c>
      <c r="G131" s="66">
        <f>G120+G130</f>
        <v>71.349999999999994</v>
      </c>
      <c r="H131" s="66">
        <f t="shared" ref="H131" si="29">H120+H130</f>
        <v>59.799000000000007</v>
      </c>
      <c r="I131" s="66">
        <f t="shared" ref="I131" si="30">I120+I130</f>
        <v>202.22800000000001</v>
      </c>
      <c r="J131" s="66">
        <f t="shared" ref="J131" si="31">J120+J130</f>
        <v>1633.5439999999999</v>
      </c>
      <c r="K131" s="81"/>
      <c r="L131" s="125">
        <f>L120+L130</f>
        <v>270.09000000000003</v>
      </c>
      <c r="M131" s="57"/>
    </row>
    <row r="132" spans="1:13" ht="15.75">
      <c r="A132" s="1">
        <v>2</v>
      </c>
      <c r="B132" s="2">
        <v>3</v>
      </c>
      <c r="C132" s="27" t="s">
        <v>21</v>
      </c>
      <c r="D132" s="28" t="s">
        <v>31</v>
      </c>
      <c r="E132" s="14" t="s">
        <v>67</v>
      </c>
      <c r="F132" s="107">
        <v>100</v>
      </c>
      <c r="G132" s="107">
        <f>F132*10.44/90</f>
        <v>11.6</v>
      </c>
      <c r="H132" s="107">
        <f>F132*10.89/90</f>
        <v>12.1</v>
      </c>
      <c r="I132" s="107">
        <f>F132*10.08/90</f>
        <v>11.2</v>
      </c>
      <c r="J132" s="107">
        <f>F132*180/90</f>
        <v>200</v>
      </c>
      <c r="K132" s="12">
        <v>44236</v>
      </c>
      <c r="L132" s="122">
        <v>70.180000000000007</v>
      </c>
      <c r="M132" s="57"/>
    </row>
    <row r="133" spans="1:13" ht="31.5">
      <c r="A133" s="3"/>
      <c r="B133" s="4"/>
      <c r="C133" s="29"/>
      <c r="D133" s="31" t="s">
        <v>32</v>
      </c>
      <c r="E133" s="42" t="s">
        <v>113</v>
      </c>
      <c r="F133" s="105">
        <v>150</v>
      </c>
      <c r="G133" s="105">
        <f>F133*8.63/150</f>
        <v>8.6300000000000008</v>
      </c>
      <c r="H133" s="105">
        <f>F133*6.83/150</f>
        <v>6.83</v>
      </c>
      <c r="I133" s="105">
        <f>F133*37.8/150</f>
        <v>37.799999999999997</v>
      </c>
      <c r="J133" s="105">
        <f>F133*266.25/150</f>
        <v>266.25</v>
      </c>
      <c r="K133" s="43" t="s">
        <v>86</v>
      </c>
      <c r="L133" s="123">
        <v>18.21</v>
      </c>
      <c r="M133" s="57"/>
    </row>
    <row r="134" spans="1:13" ht="15.75">
      <c r="A134" s="3"/>
      <c r="B134" s="4"/>
      <c r="C134" s="29"/>
      <c r="D134" s="30" t="s">
        <v>23</v>
      </c>
      <c r="E134" s="42" t="s">
        <v>54</v>
      </c>
      <c r="F134" s="105">
        <v>200</v>
      </c>
      <c r="G134" s="105">
        <v>0.2</v>
      </c>
      <c r="H134" s="105">
        <v>0.1</v>
      </c>
      <c r="I134" s="105">
        <v>13.1</v>
      </c>
      <c r="J134" s="105">
        <v>54</v>
      </c>
      <c r="K134" s="43" t="s">
        <v>55</v>
      </c>
      <c r="L134" s="123">
        <v>7.66</v>
      </c>
      <c r="M134" s="57"/>
    </row>
    <row r="135" spans="1:13" ht="31.5">
      <c r="A135" s="3"/>
      <c r="B135" s="4"/>
      <c r="C135" s="29"/>
      <c r="D135" s="30" t="s">
        <v>35</v>
      </c>
      <c r="E135" s="13" t="s">
        <v>36</v>
      </c>
      <c r="F135" s="107">
        <v>33</v>
      </c>
      <c r="G135" s="107">
        <f>SUM(F135*2.37/30)</f>
        <v>2.6070000000000002</v>
      </c>
      <c r="H135" s="107">
        <f>SUM(F135*0.3/30)</f>
        <v>0.33</v>
      </c>
      <c r="I135" s="107">
        <f>SUM(F135*14.49/30)</f>
        <v>15.939</v>
      </c>
      <c r="J135" s="107">
        <f>SUM(F135*70.14/30)</f>
        <v>77.153999999999996</v>
      </c>
      <c r="K135" s="12" t="s">
        <v>25</v>
      </c>
      <c r="L135" s="123">
        <v>3.51</v>
      </c>
      <c r="M135" s="57"/>
    </row>
    <row r="136" spans="1:13" ht="16.5" thickBot="1">
      <c r="A136" s="3"/>
      <c r="B136" s="4"/>
      <c r="C136" s="29"/>
      <c r="D136" s="30" t="s">
        <v>37</v>
      </c>
      <c r="E136" s="42" t="s">
        <v>128</v>
      </c>
      <c r="F136" s="107">
        <v>30</v>
      </c>
      <c r="G136" s="107">
        <f>SUM(F136*1.68/30)</f>
        <v>1.68</v>
      </c>
      <c r="H136" s="107">
        <f>SUM(F136*0.33/30)</f>
        <v>0.33</v>
      </c>
      <c r="I136" s="107">
        <f>SUM(F136*14.82/30)</f>
        <v>14.82</v>
      </c>
      <c r="J136" s="107">
        <f>SUM(F136*68.97/30)</f>
        <v>68.97</v>
      </c>
      <c r="K136" s="12" t="s">
        <v>39</v>
      </c>
      <c r="L136" s="126">
        <v>2.95</v>
      </c>
      <c r="M136" s="57"/>
    </row>
    <row r="137" spans="1:13" ht="32.25" thickBot="1">
      <c r="A137" s="3"/>
      <c r="B137" s="4"/>
      <c r="C137" s="29"/>
      <c r="D137" s="31"/>
      <c r="E137" s="118" t="s">
        <v>143</v>
      </c>
      <c r="F137" s="116">
        <v>28</v>
      </c>
      <c r="G137" s="116">
        <f>F137*3/100</f>
        <v>0.84</v>
      </c>
      <c r="H137" s="116">
        <f>F137*4.1/100</f>
        <v>1.1479999999999999</v>
      </c>
      <c r="I137" s="116">
        <f>F137*6.4/100</f>
        <v>1.7920000000000003</v>
      </c>
      <c r="J137" s="116">
        <f>F137*75/100</f>
        <v>21</v>
      </c>
      <c r="K137" s="82" t="s">
        <v>146</v>
      </c>
      <c r="L137" s="126">
        <v>22.53</v>
      </c>
      <c r="M137" s="57"/>
    </row>
    <row r="138" spans="1:13" ht="15.75">
      <c r="A138" s="3"/>
      <c r="B138" s="4"/>
      <c r="C138" s="29"/>
      <c r="D138" s="31"/>
      <c r="E138" s="67"/>
      <c r="F138" s="65"/>
      <c r="G138" s="65"/>
      <c r="H138" s="65"/>
      <c r="I138" s="65"/>
      <c r="J138" s="65"/>
      <c r="K138" s="43"/>
      <c r="L138" s="123"/>
      <c r="M138" s="57"/>
    </row>
    <row r="139" spans="1:13" ht="15.75">
      <c r="A139" s="23"/>
      <c r="B139" s="24"/>
      <c r="C139" s="32"/>
      <c r="D139" s="33" t="s">
        <v>27</v>
      </c>
      <c r="E139" s="60"/>
      <c r="F139" s="69">
        <f>SUM(F132:F138)</f>
        <v>541</v>
      </c>
      <c r="G139" s="61">
        <f>SUM(G132:G138)-0.01</f>
        <v>25.546999999999997</v>
      </c>
      <c r="H139" s="61">
        <f>SUM(H132:H138)-0.01</f>
        <v>20.827999999999996</v>
      </c>
      <c r="I139" s="61">
        <f t="shared" ref="I139:J139" si="32">SUM(I132:I138)</f>
        <v>94.65100000000001</v>
      </c>
      <c r="J139" s="61">
        <f t="shared" si="32"/>
        <v>687.37400000000002</v>
      </c>
      <c r="K139" s="80"/>
      <c r="L139" s="124">
        <f>SUM(L132:L138)</f>
        <v>125.04000000000002</v>
      </c>
      <c r="M139" s="57"/>
    </row>
    <row r="140" spans="1:13" ht="15.75">
      <c r="A140" s="5">
        <f>A132</f>
        <v>2</v>
      </c>
      <c r="B140" s="6">
        <f>B132</f>
        <v>3</v>
      </c>
      <c r="C140" s="34" t="s">
        <v>28</v>
      </c>
      <c r="D140" s="30" t="s">
        <v>29</v>
      </c>
      <c r="E140" s="62" t="s">
        <v>114</v>
      </c>
      <c r="F140" s="105">
        <v>60</v>
      </c>
      <c r="G140" s="105">
        <f>F140*3.06/60</f>
        <v>3.06</v>
      </c>
      <c r="H140" s="105">
        <f>F140*9.36/60</f>
        <v>9.3599999999999977</v>
      </c>
      <c r="I140" s="105">
        <f>F140*8.1/60</f>
        <v>8.1</v>
      </c>
      <c r="J140" s="105">
        <f>F140*128.76/60</f>
        <v>128.76</v>
      </c>
      <c r="K140" s="108" t="s">
        <v>115</v>
      </c>
      <c r="L140" s="123">
        <v>8.2200000000000006</v>
      </c>
      <c r="M140" s="57"/>
    </row>
    <row r="141" spans="1:13" ht="31.5">
      <c r="A141" s="3"/>
      <c r="B141" s="4"/>
      <c r="C141" s="29"/>
      <c r="D141" s="30" t="s">
        <v>30</v>
      </c>
      <c r="E141" s="41" t="s">
        <v>156</v>
      </c>
      <c r="F141" s="105">
        <v>200</v>
      </c>
      <c r="G141" s="105">
        <f>F141*3.42/200</f>
        <v>3.42</v>
      </c>
      <c r="H141" s="105">
        <f>F141*4.98/200</f>
        <v>4.9800000000000004</v>
      </c>
      <c r="I141" s="105">
        <f>F141*7/200</f>
        <v>7</v>
      </c>
      <c r="J141" s="105">
        <f>F141*87.2/200</f>
        <v>87.2</v>
      </c>
      <c r="K141" s="110">
        <v>44379</v>
      </c>
      <c r="L141" s="123">
        <v>26.04</v>
      </c>
      <c r="M141" s="57"/>
    </row>
    <row r="142" spans="1:13" ht="15.75">
      <c r="A142" s="3"/>
      <c r="B142" s="4"/>
      <c r="C142" s="29"/>
      <c r="D142" s="30" t="s">
        <v>31</v>
      </c>
      <c r="E142" s="41" t="s">
        <v>66</v>
      </c>
      <c r="F142" s="105">
        <v>105</v>
      </c>
      <c r="G142" s="105">
        <f>F142*10.07/100</f>
        <v>10.573500000000001</v>
      </c>
      <c r="H142" s="105">
        <f>F142*7.08/100</f>
        <v>7.4340000000000002</v>
      </c>
      <c r="I142" s="105">
        <f>F142*9.05/100</f>
        <v>9.5025000000000013</v>
      </c>
      <c r="J142" s="105">
        <f>F142*140.77/100</f>
        <v>147.80850000000001</v>
      </c>
      <c r="K142" s="112" t="s">
        <v>116</v>
      </c>
      <c r="L142" s="123">
        <v>75.180000000000007</v>
      </c>
      <c r="M142" s="57"/>
    </row>
    <row r="143" spans="1:13" ht="15.75">
      <c r="A143" s="3"/>
      <c r="B143" s="4"/>
      <c r="C143" s="29"/>
      <c r="D143" s="30" t="s">
        <v>32</v>
      </c>
      <c r="E143" s="41" t="s">
        <v>51</v>
      </c>
      <c r="F143" s="107">
        <v>150</v>
      </c>
      <c r="G143" s="107">
        <f>F143*3.17/150</f>
        <v>3.17</v>
      </c>
      <c r="H143" s="107">
        <f>F143*3.6/150</f>
        <v>3.6</v>
      </c>
      <c r="I143" s="107">
        <f>F143*20.4/150</f>
        <v>20.399999999999999</v>
      </c>
      <c r="J143" s="107">
        <f>F143*128/150</f>
        <v>128</v>
      </c>
      <c r="K143" s="108" t="s">
        <v>117</v>
      </c>
      <c r="L143" s="123">
        <v>22.98</v>
      </c>
      <c r="M143" s="57"/>
    </row>
    <row r="144" spans="1:13" ht="15.75">
      <c r="A144" s="3"/>
      <c r="B144" s="4"/>
      <c r="C144" s="29"/>
      <c r="D144" s="30" t="s">
        <v>87</v>
      </c>
      <c r="E144" s="41" t="s">
        <v>149</v>
      </c>
      <c r="F144" s="105">
        <v>200</v>
      </c>
      <c r="G144" s="105">
        <v>0</v>
      </c>
      <c r="H144" s="105">
        <v>0</v>
      </c>
      <c r="I144" s="105">
        <v>27.8</v>
      </c>
      <c r="J144" s="105">
        <v>111</v>
      </c>
      <c r="K144" s="108" t="s">
        <v>118</v>
      </c>
      <c r="L144" s="123">
        <v>5.74</v>
      </c>
      <c r="M144" s="57"/>
    </row>
    <row r="145" spans="1:13" ht="31.5">
      <c r="A145" s="3"/>
      <c r="B145" s="4"/>
      <c r="C145" s="29"/>
      <c r="D145" s="30" t="s">
        <v>35</v>
      </c>
      <c r="E145" s="13" t="s">
        <v>36</v>
      </c>
      <c r="F145" s="107">
        <v>37</v>
      </c>
      <c r="G145" s="107">
        <f>SUM(F145*2.37/30)</f>
        <v>2.923</v>
      </c>
      <c r="H145" s="107">
        <f>SUM(F145*0.3/30)</f>
        <v>0.37</v>
      </c>
      <c r="I145" s="107">
        <f>SUM(F145*14.49/30)</f>
        <v>17.870999999999999</v>
      </c>
      <c r="J145" s="107">
        <f>SUM(F145*70.14/30)</f>
        <v>86.506</v>
      </c>
      <c r="K145" s="110" t="s">
        <v>25</v>
      </c>
      <c r="L145" s="123">
        <v>3.93</v>
      </c>
      <c r="M145" s="57"/>
    </row>
    <row r="146" spans="1:13" ht="15.75">
      <c r="A146" s="3"/>
      <c r="B146" s="4"/>
      <c r="C146" s="29"/>
      <c r="D146" s="30" t="s">
        <v>37</v>
      </c>
      <c r="E146" s="42" t="s">
        <v>128</v>
      </c>
      <c r="F146" s="107">
        <v>30</v>
      </c>
      <c r="G146" s="107">
        <f>SUM(F146*1.68/30)</f>
        <v>1.68</v>
      </c>
      <c r="H146" s="107">
        <f>SUM(F146*0.33/30)</f>
        <v>0.33</v>
      </c>
      <c r="I146" s="107">
        <f>SUM(F146*14.82/30)</f>
        <v>14.82</v>
      </c>
      <c r="J146" s="107">
        <f>SUM(F146*68.97/30)</f>
        <v>68.97</v>
      </c>
      <c r="K146" s="110" t="s">
        <v>39</v>
      </c>
      <c r="L146" s="123">
        <v>2.95</v>
      </c>
      <c r="M146" s="57"/>
    </row>
    <row r="147" spans="1:13" ht="15.75">
      <c r="A147" s="3"/>
      <c r="B147" s="4"/>
      <c r="C147" s="29"/>
      <c r="D147" s="31"/>
      <c r="E147" s="58"/>
      <c r="F147" s="65"/>
      <c r="G147" s="65"/>
      <c r="H147" s="65"/>
      <c r="I147" s="65"/>
      <c r="J147" s="65"/>
      <c r="K147" s="43"/>
      <c r="L147" s="123"/>
      <c r="M147" s="57"/>
    </row>
    <row r="148" spans="1:13" ht="15.75">
      <c r="A148" s="97"/>
      <c r="B148" s="98"/>
      <c r="C148" s="99"/>
      <c r="D148" s="100" t="s">
        <v>27</v>
      </c>
      <c r="E148" s="101"/>
      <c r="F148" s="102">
        <f>SUM(F140:F147)</f>
        <v>782</v>
      </c>
      <c r="G148" s="102">
        <f>SUM(G140:G147)</f>
        <v>24.826500000000003</v>
      </c>
      <c r="H148" s="102">
        <f>SUM(H140:H147)</f>
        <v>26.073999999999998</v>
      </c>
      <c r="I148" s="102">
        <f>SUM(I140:I147)+0.01</f>
        <v>105.50349999999999</v>
      </c>
      <c r="J148" s="102">
        <f>SUM(J140:J147)+0.01</f>
        <v>758.25450000000001</v>
      </c>
      <c r="K148" s="103"/>
      <c r="L148" s="130">
        <f>SUM(L140:L147)+0.01</f>
        <v>145.04999999999998</v>
      </c>
      <c r="M148" s="57"/>
    </row>
    <row r="149" spans="1:13" ht="16.5" thickBot="1">
      <c r="A149" s="25">
        <f>A132</f>
        <v>2</v>
      </c>
      <c r="B149" s="26">
        <f>B132</f>
        <v>3</v>
      </c>
      <c r="C149" s="148" t="s">
        <v>38</v>
      </c>
      <c r="D149" s="149"/>
      <c r="E149" s="64"/>
      <c r="F149" s="66">
        <f>F139+F148</f>
        <v>1323</v>
      </c>
      <c r="G149" s="66">
        <f>G139+G148+0.01</f>
        <v>50.383499999999998</v>
      </c>
      <c r="H149" s="66">
        <f>H139+H148</f>
        <v>46.901999999999994</v>
      </c>
      <c r="I149" s="66">
        <f>I139+I148</f>
        <v>200.15449999999998</v>
      </c>
      <c r="J149" s="66">
        <f>J139+J148-0.01</f>
        <v>1445.6185</v>
      </c>
      <c r="K149" s="81"/>
      <c r="L149" s="125">
        <f>L139+L148</f>
        <v>270.09000000000003</v>
      </c>
      <c r="M149" s="57"/>
    </row>
    <row r="150" spans="1:13" ht="16.5" thickBot="1">
      <c r="A150" s="39">
        <v>2</v>
      </c>
      <c r="B150" s="40">
        <v>4</v>
      </c>
      <c r="C150" s="27" t="s">
        <v>21</v>
      </c>
      <c r="D150" s="30" t="s">
        <v>32</v>
      </c>
      <c r="E150" s="41" t="s">
        <v>127</v>
      </c>
      <c r="F150" s="107">
        <v>160</v>
      </c>
      <c r="G150" s="107">
        <f>F150*3.25/150</f>
        <v>3.4666666666666668</v>
      </c>
      <c r="H150" s="107">
        <f>F150*2.8/150</f>
        <v>2.9866666666666668</v>
      </c>
      <c r="I150" s="107">
        <f>F150*11.9/150</f>
        <v>12.693333333333333</v>
      </c>
      <c r="J150" s="107">
        <f>F150*87/150</f>
        <v>92.8</v>
      </c>
      <c r="K150" s="110">
        <v>44533</v>
      </c>
      <c r="L150" s="123">
        <v>18.37</v>
      </c>
      <c r="M150" s="57"/>
    </row>
    <row r="151" spans="1:13" ht="31.5">
      <c r="A151" s="3"/>
      <c r="B151" s="4"/>
      <c r="C151" s="29"/>
      <c r="D151" s="30" t="s">
        <v>31</v>
      </c>
      <c r="E151" s="42" t="s">
        <v>88</v>
      </c>
      <c r="F151" s="107">
        <v>93</v>
      </c>
      <c r="G151" s="107">
        <f>F151*11.61/90</f>
        <v>11.997</v>
      </c>
      <c r="H151" s="107">
        <f>F151*12.06/90</f>
        <v>12.462000000000002</v>
      </c>
      <c r="I151" s="107">
        <f>F151*13.14/90</f>
        <v>13.577999999999999</v>
      </c>
      <c r="J151" s="107">
        <f>F151*207.54/90</f>
        <v>214.45799999999997</v>
      </c>
      <c r="K151" s="106" t="s">
        <v>135</v>
      </c>
      <c r="L151" s="123">
        <v>89.28</v>
      </c>
      <c r="M151" s="57"/>
    </row>
    <row r="152" spans="1:13" ht="15.75">
      <c r="A152" s="3"/>
      <c r="B152" s="4"/>
      <c r="C152" s="29"/>
      <c r="D152" s="30" t="s">
        <v>23</v>
      </c>
      <c r="E152" s="41" t="s">
        <v>119</v>
      </c>
      <c r="F152" s="105">
        <v>200</v>
      </c>
      <c r="G152" s="105">
        <v>0.3</v>
      </c>
      <c r="H152" s="105">
        <v>0.1</v>
      </c>
      <c r="I152" s="105">
        <v>18.899999999999999</v>
      </c>
      <c r="J152" s="105">
        <v>78</v>
      </c>
      <c r="K152" s="108" t="s">
        <v>136</v>
      </c>
      <c r="L152" s="123">
        <v>8.75</v>
      </c>
      <c r="M152" s="57"/>
    </row>
    <row r="153" spans="1:13" ht="31.5">
      <c r="A153" s="3"/>
      <c r="B153" s="4"/>
      <c r="C153" s="29"/>
      <c r="D153" s="30" t="s">
        <v>35</v>
      </c>
      <c r="E153" s="13" t="s">
        <v>36</v>
      </c>
      <c r="F153" s="107">
        <v>50</v>
      </c>
      <c r="G153" s="107">
        <f>SUM(F153*3.95/50)</f>
        <v>3.95</v>
      </c>
      <c r="H153" s="107">
        <f>SUM(F153*0.5/50)</f>
        <v>0.5</v>
      </c>
      <c r="I153" s="107">
        <f>SUM(F153*24.15/50)</f>
        <v>24.15</v>
      </c>
      <c r="J153" s="107">
        <f>SUM(F153*116.9/50)</f>
        <v>116.9</v>
      </c>
      <c r="K153" s="108" t="s">
        <v>25</v>
      </c>
      <c r="L153" s="123">
        <v>5.32</v>
      </c>
      <c r="M153" s="57"/>
    </row>
    <row r="154" spans="1:13" ht="15.75">
      <c r="A154" s="3"/>
      <c r="B154" s="4"/>
      <c r="C154" s="29"/>
      <c r="D154" s="30" t="s">
        <v>37</v>
      </c>
      <c r="E154" s="13" t="s">
        <v>128</v>
      </c>
      <c r="F154" s="107">
        <v>34</v>
      </c>
      <c r="G154" s="107">
        <f>SUM(F154*1.68/30)</f>
        <v>1.9039999999999999</v>
      </c>
      <c r="H154" s="107">
        <f>SUM(F154*0.33/30)</f>
        <v>0.374</v>
      </c>
      <c r="I154" s="107">
        <f>SUM(F154*14.82/30)</f>
        <v>16.795999999999999</v>
      </c>
      <c r="J154" s="107">
        <f>SUM(F154*68.97/30)</f>
        <v>78.165999999999997</v>
      </c>
      <c r="K154" s="108" t="s">
        <v>39</v>
      </c>
      <c r="L154" s="123">
        <v>3.32</v>
      </c>
      <c r="M154" s="57"/>
    </row>
    <row r="155" spans="1:13" ht="15.75">
      <c r="A155" s="3"/>
      <c r="B155" s="4"/>
      <c r="C155" s="29"/>
      <c r="D155" s="30"/>
      <c r="E155" s="13"/>
      <c r="F155" s="107"/>
      <c r="G155" s="107"/>
      <c r="H155" s="107"/>
      <c r="I155" s="107"/>
      <c r="J155" s="107"/>
      <c r="K155" s="108"/>
      <c r="L155" s="123"/>
      <c r="M155" s="57"/>
    </row>
    <row r="156" spans="1:13" ht="15.75">
      <c r="A156" s="23"/>
      <c r="B156" s="24"/>
      <c r="C156" s="32"/>
      <c r="D156" s="33" t="s">
        <v>27</v>
      </c>
      <c r="E156" s="60"/>
      <c r="F156" s="61">
        <f t="shared" ref="F156:J156" si="33">SUM(F150:F155)</f>
        <v>537</v>
      </c>
      <c r="G156" s="61">
        <f>SUM(G150:G155)</f>
        <v>21.617666666666668</v>
      </c>
      <c r="H156" s="61">
        <f t="shared" si="33"/>
        <v>16.422666666666668</v>
      </c>
      <c r="I156" s="61">
        <f>SUM(I150:I155)</f>
        <v>86.117333333333335</v>
      </c>
      <c r="J156" s="61">
        <f t="shared" si="33"/>
        <v>580.32400000000007</v>
      </c>
      <c r="K156" s="80"/>
      <c r="L156" s="124">
        <f>SUM(L150:L155)</f>
        <v>125.03999999999999</v>
      </c>
      <c r="M156" s="57"/>
    </row>
    <row r="157" spans="1:13" ht="31.5">
      <c r="A157" s="5">
        <v>2</v>
      </c>
      <c r="B157" s="6">
        <v>4</v>
      </c>
      <c r="C157" s="34" t="s">
        <v>28</v>
      </c>
      <c r="D157" s="30" t="s">
        <v>29</v>
      </c>
      <c r="E157" s="41" t="s">
        <v>147</v>
      </c>
      <c r="F157" s="105">
        <v>60</v>
      </c>
      <c r="G157" s="105">
        <f>F157*1.3/100</f>
        <v>0.78</v>
      </c>
      <c r="H157" s="105">
        <f>F157*6.1/100</f>
        <v>3.66</v>
      </c>
      <c r="I157" s="105">
        <f>F157*4.1/100</f>
        <v>2.4599999999999995</v>
      </c>
      <c r="J157" s="105">
        <f>F157*82/100</f>
        <v>49.2</v>
      </c>
      <c r="K157" s="109" t="s">
        <v>148</v>
      </c>
      <c r="L157" s="123">
        <v>28.39</v>
      </c>
      <c r="M157" s="57"/>
    </row>
    <row r="158" spans="1:13" ht="48" customHeight="1">
      <c r="A158" s="3"/>
      <c r="B158" s="4"/>
      <c r="C158" s="29"/>
      <c r="D158" s="30" t="s">
        <v>30</v>
      </c>
      <c r="E158" s="41" t="s">
        <v>139</v>
      </c>
      <c r="F158" s="105">
        <v>200</v>
      </c>
      <c r="G158" s="105">
        <f>F158*3.9/200</f>
        <v>3.9</v>
      </c>
      <c r="H158" s="105">
        <f>F158*4.1/200</f>
        <v>4.0999999999999996</v>
      </c>
      <c r="I158" s="105">
        <f>F158*25.32/200</f>
        <v>25.32</v>
      </c>
      <c r="J158" s="105">
        <f>F158*154.4/200</f>
        <v>154.4</v>
      </c>
      <c r="K158" s="109" t="s">
        <v>59</v>
      </c>
      <c r="L158" s="123">
        <v>17.71</v>
      </c>
      <c r="M158" s="57"/>
    </row>
    <row r="159" spans="1:13" ht="31.5">
      <c r="A159" s="3"/>
      <c r="B159" s="4"/>
      <c r="C159" s="29"/>
      <c r="D159" s="30" t="s">
        <v>31</v>
      </c>
      <c r="E159" s="41" t="s">
        <v>43</v>
      </c>
      <c r="F159" s="107">
        <v>90</v>
      </c>
      <c r="G159" s="107">
        <f>F159*17.19/90</f>
        <v>17.190000000000001</v>
      </c>
      <c r="H159" s="107">
        <f>F159*14.31/90</f>
        <v>14.31</v>
      </c>
      <c r="I159" s="107">
        <f>F159*0.18/90</f>
        <v>0.18</v>
      </c>
      <c r="J159" s="107">
        <f>F159*198/90</f>
        <v>198</v>
      </c>
      <c r="K159" s="109">
        <v>4232</v>
      </c>
      <c r="L159" s="123">
        <v>64.61</v>
      </c>
      <c r="M159" s="57"/>
    </row>
    <row r="160" spans="1:13" ht="15.75">
      <c r="A160" s="3"/>
      <c r="B160" s="4"/>
      <c r="C160" s="29"/>
      <c r="D160" s="30" t="s">
        <v>32</v>
      </c>
      <c r="E160" s="42" t="s">
        <v>120</v>
      </c>
      <c r="F160" s="105">
        <v>150</v>
      </c>
      <c r="G160" s="105">
        <f>F160*3.6/150</f>
        <v>3.6</v>
      </c>
      <c r="H160" s="105">
        <f>F160*5.4/150</f>
        <v>5.4</v>
      </c>
      <c r="I160" s="105">
        <f>F160*36.68/150</f>
        <v>36.68</v>
      </c>
      <c r="J160" s="105">
        <f>F160*210/150</f>
        <v>210</v>
      </c>
      <c r="K160" s="109" t="s">
        <v>122</v>
      </c>
      <c r="L160" s="123">
        <v>15.61</v>
      </c>
      <c r="M160" s="57"/>
    </row>
    <row r="161" spans="1:13" ht="15.75">
      <c r="A161" s="3"/>
      <c r="B161" s="4"/>
      <c r="C161" s="29"/>
      <c r="D161" s="30" t="s">
        <v>87</v>
      </c>
      <c r="E161" s="41" t="s">
        <v>121</v>
      </c>
      <c r="F161" s="105">
        <v>200</v>
      </c>
      <c r="G161" s="105">
        <v>0.7</v>
      </c>
      <c r="H161" s="105">
        <v>0</v>
      </c>
      <c r="I161" s="105">
        <v>21.1</v>
      </c>
      <c r="J161" s="105">
        <v>88</v>
      </c>
      <c r="K161" s="109" t="s">
        <v>123</v>
      </c>
      <c r="L161" s="123">
        <v>12.49</v>
      </c>
      <c r="M161" s="57"/>
    </row>
    <row r="162" spans="1:13" ht="31.5">
      <c r="A162" s="3"/>
      <c r="B162" s="4"/>
      <c r="C162" s="29"/>
      <c r="D162" s="30" t="s">
        <v>35</v>
      </c>
      <c r="E162" s="13" t="s">
        <v>36</v>
      </c>
      <c r="F162" s="107">
        <v>31</v>
      </c>
      <c r="G162" s="107">
        <f>SUM(F162*2.37/30)</f>
        <v>2.4489999999999998</v>
      </c>
      <c r="H162" s="107">
        <f>SUM(F162*0.3/30)</f>
        <v>0.30999999999999994</v>
      </c>
      <c r="I162" s="107">
        <f>SUM(F162*14.49/30)</f>
        <v>14.973000000000001</v>
      </c>
      <c r="J162" s="107">
        <f>SUM(F162*70.14/30)</f>
        <v>72.478000000000009</v>
      </c>
      <c r="K162" s="109" t="s">
        <v>25</v>
      </c>
      <c r="L162" s="123">
        <v>3.3</v>
      </c>
      <c r="M162" s="57"/>
    </row>
    <row r="163" spans="1:13" ht="15.75">
      <c r="A163" s="3"/>
      <c r="B163" s="4"/>
      <c r="C163" s="29"/>
      <c r="D163" s="30" t="s">
        <v>37</v>
      </c>
      <c r="E163" s="42" t="s">
        <v>128</v>
      </c>
      <c r="F163" s="107">
        <v>30</v>
      </c>
      <c r="G163" s="107">
        <f>SUM(F163*1.68/30)</f>
        <v>1.68</v>
      </c>
      <c r="H163" s="107">
        <f>SUM(F163*0.33/30)</f>
        <v>0.33</v>
      </c>
      <c r="I163" s="107">
        <f>SUM(F163*14.82/30)</f>
        <v>14.82</v>
      </c>
      <c r="J163" s="107">
        <f>SUM(F163*68.97/30)</f>
        <v>68.97</v>
      </c>
      <c r="K163" s="109" t="s">
        <v>39</v>
      </c>
      <c r="L163" s="123">
        <v>2.95</v>
      </c>
      <c r="M163" s="57"/>
    </row>
    <row r="164" spans="1:13" ht="15.75">
      <c r="A164" s="3"/>
      <c r="B164" s="4"/>
      <c r="C164" s="29"/>
      <c r="D164" s="31"/>
      <c r="E164" s="58"/>
      <c r="F164" s="111"/>
      <c r="G164" s="111"/>
      <c r="H164" s="111"/>
      <c r="I164" s="111"/>
      <c r="J164" s="111"/>
      <c r="K164" s="108"/>
      <c r="L164" s="123"/>
      <c r="M164" s="57"/>
    </row>
    <row r="165" spans="1:13" ht="15.75">
      <c r="A165" s="3"/>
      <c r="B165" s="4"/>
      <c r="C165" s="29"/>
      <c r="D165" s="31"/>
      <c r="E165" s="58"/>
      <c r="F165" s="65"/>
      <c r="G165" s="65"/>
      <c r="H165" s="65"/>
      <c r="I165" s="65"/>
      <c r="J165" s="65"/>
      <c r="K165" s="43"/>
      <c r="L165" s="123"/>
      <c r="M165" s="57"/>
    </row>
    <row r="166" spans="1:13" ht="15.75">
      <c r="A166" s="23"/>
      <c r="B166" s="24"/>
      <c r="C166" s="32"/>
      <c r="D166" s="33" t="s">
        <v>27</v>
      </c>
      <c r="E166" s="60"/>
      <c r="F166" s="61">
        <f>SUM(F157:F165)</f>
        <v>761</v>
      </c>
      <c r="G166" s="61">
        <f t="shared" ref="G166:J166" si="34">SUM(G157:G165)</f>
        <v>30.298999999999999</v>
      </c>
      <c r="H166" s="61">
        <f t="shared" si="34"/>
        <v>28.109999999999996</v>
      </c>
      <c r="I166" s="61">
        <f>SUM(I157:I165)</f>
        <v>115.53300000000002</v>
      </c>
      <c r="J166" s="61">
        <f t="shared" si="34"/>
        <v>841.048</v>
      </c>
      <c r="K166" s="80"/>
      <c r="L166" s="124">
        <f>SUM(L157:L165)-0.01</f>
        <v>145.05000000000001</v>
      </c>
      <c r="M166" s="57"/>
    </row>
    <row r="167" spans="1:13" ht="16.5" thickBot="1">
      <c r="A167" s="25">
        <v>2</v>
      </c>
      <c r="B167" s="26">
        <v>4</v>
      </c>
      <c r="C167" s="148" t="s">
        <v>38</v>
      </c>
      <c r="D167" s="149"/>
      <c r="E167" s="64"/>
      <c r="F167" s="66">
        <f>F156+F166</f>
        <v>1298</v>
      </c>
      <c r="G167" s="66">
        <f>G156+G166-0.01</f>
        <v>51.906666666666673</v>
      </c>
      <c r="H167" s="66">
        <f>H156+H166</f>
        <v>44.532666666666664</v>
      </c>
      <c r="I167" s="66">
        <f t="shared" ref="I167" si="35">I156+I166</f>
        <v>201.65033333333335</v>
      </c>
      <c r="J167" s="66">
        <f t="shared" ref="J167:L167" si="36">J156+J166</f>
        <v>1421.3720000000001</v>
      </c>
      <c r="K167" s="81"/>
      <c r="L167" s="125">
        <f t="shared" si="36"/>
        <v>270.09000000000003</v>
      </c>
      <c r="M167" s="57"/>
    </row>
    <row r="168" spans="1:13" ht="15.75">
      <c r="A168" s="3">
        <v>2</v>
      </c>
      <c r="B168" s="4">
        <v>5</v>
      </c>
      <c r="C168" s="27" t="s">
        <v>21</v>
      </c>
      <c r="D168" s="28" t="s">
        <v>31</v>
      </c>
      <c r="E168" s="41" t="s">
        <v>64</v>
      </c>
      <c r="F168" s="105">
        <v>91</v>
      </c>
      <c r="G168" s="105">
        <f>F168*8.73/90</f>
        <v>8.827</v>
      </c>
      <c r="H168" s="105">
        <f>F168*12.42/90</f>
        <v>12.558</v>
      </c>
      <c r="I168" s="105">
        <f>F168*1.53/90</f>
        <v>1.5469999999999999</v>
      </c>
      <c r="J168" s="105">
        <f>F168*152.82/90</f>
        <v>154.518</v>
      </c>
      <c r="K168" s="110" t="s">
        <v>124</v>
      </c>
      <c r="L168" s="129">
        <v>63.72</v>
      </c>
      <c r="M168" s="57"/>
    </row>
    <row r="169" spans="1:13" ht="15.75">
      <c r="A169" s="3"/>
      <c r="B169" s="4"/>
      <c r="C169" s="29"/>
      <c r="D169" s="31" t="s">
        <v>32</v>
      </c>
      <c r="E169" s="13" t="s">
        <v>33</v>
      </c>
      <c r="F169" s="104">
        <v>154</v>
      </c>
      <c r="G169" s="107">
        <f>F169*5.33/150-0.01</f>
        <v>5.462133333333334</v>
      </c>
      <c r="H169" s="107">
        <f>F169*3/150</f>
        <v>3.08</v>
      </c>
      <c r="I169" s="107">
        <f>F169*32.4/150</f>
        <v>33.263999999999996</v>
      </c>
      <c r="J169" s="107">
        <f>F169*177.75/150</f>
        <v>182.49</v>
      </c>
      <c r="K169" s="108" t="s">
        <v>68</v>
      </c>
      <c r="L169" s="129">
        <v>9.77</v>
      </c>
      <c r="M169" s="57"/>
    </row>
    <row r="170" spans="1:13" ht="15.75">
      <c r="A170" s="3"/>
      <c r="B170" s="4"/>
      <c r="C170" s="29"/>
      <c r="D170" s="30" t="s">
        <v>23</v>
      </c>
      <c r="E170" s="14" t="s">
        <v>41</v>
      </c>
      <c r="F170" s="107">
        <v>200</v>
      </c>
      <c r="G170" s="107">
        <v>0</v>
      </c>
      <c r="H170" s="107">
        <v>0</v>
      </c>
      <c r="I170" s="107">
        <v>12</v>
      </c>
      <c r="J170" s="107">
        <v>48</v>
      </c>
      <c r="K170" s="110" t="s">
        <v>42</v>
      </c>
      <c r="L170" s="129">
        <v>12.54</v>
      </c>
      <c r="M170" s="57"/>
    </row>
    <row r="171" spans="1:13" ht="15.75">
      <c r="A171" s="3"/>
      <c r="B171" s="4"/>
      <c r="C171" s="29"/>
      <c r="D171" s="30" t="s">
        <v>35</v>
      </c>
      <c r="E171" s="42" t="s">
        <v>26</v>
      </c>
      <c r="F171" s="104">
        <v>50</v>
      </c>
      <c r="G171" s="104">
        <f>F171*6.1/50</f>
        <v>6.1</v>
      </c>
      <c r="H171" s="104">
        <f>F171*3.7/50</f>
        <v>3.7</v>
      </c>
      <c r="I171" s="104">
        <f>17.5*F171/50</f>
        <v>17.5</v>
      </c>
      <c r="J171" s="104">
        <f>F171*127.7/50</f>
        <v>127.7</v>
      </c>
      <c r="K171" s="108" t="s">
        <v>91</v>
      </c>
      <c r="L171" s="129">
        <v>34.090000000000003</v>
      </c>
      <c r="M171" s="57"/>
    </row>
    <row r="172" spans="1:13" ht="15.75">
      <c r="A172" s="3"/>
      <c r="B172" s="4"/>
      <c r="C172" s="29"/>
      <c r="D172" s="30" t="s">
        <v>37</v>
      </c>
      <c r="E172" s="13" t="s">
        <v>128</v>
      </c>
      <c r="F172" s="107">
        <v>50</v>
      </c>
      <c r="G172" s="107">
        <f>SUM(F172*2.8/50)</f>
        <v>2.8</v>
      </c>
      <c r="H172" s="107">
        <f>SUM(F172*0.55/50)</f>
        <v>0.55000000000000004</v>
      </c>
      <c r="I172" s="107">
        <f>SUM(F172*24.7/50)</f>
        <v>24.7</v>
      </c>
      <c r="J172" s="107">
        <f>SUM(F172*114.95/50)</f>
        <v>114.95</v>
      </c>
      <c r="K172" s="110" t="s">
        <v>39</v>
      </c>
      <c r="L172" s="126">
        <v>4.92</v>
      </c>
      <c r="M172" s="57"/>
    </row>
    <row r="173" spans="1:13" ht="15.75">
      <c r="A173" s="3"/>
      <c r="B173" s="4"/>
      <c r="C173" s="29"/>
      <c r="D173" s="31"/>
      <c r="E173" s="14"/>
      <c r="F173" s="11"/>
      <c r="G173" s="11"/>
      <c r="H173" s="11"/>
      <c r="I173" s="11"/>
      <c r="J173" s="11"/>
      <c r="K173" s="43"/>
      <c r="L173" s="123"/>
      <c r="M173" s="57"/>
    </row>
    <row r="174" spans="1:13" ht="15.75">
      <c r="A174" s="23"/>
      <c r="B174" s="24"/>
      <c r="C174" s="32"/>
      <c r="D174" s="33" t="s">
        <v>27</v>
      </c>
      <c r="E174" s="60"/>
      <c r="F174" s="61">
        <f>SUM(F168:F173)</f>
        <v>545</v>
      </c>
      <c r="G174" s="61">
        <f>SUM(G168:G173)</f>
        <v>23.189133333333334</v>
      </c>
      <c r="H174" s="61">
        <f>SUM(H168:H173)</f>
        <v>19.888000000000002</v>
      </c>
      <c r="I174" s="61">
        <f>SUM(I168:I173)</f>
        <v>89.010999999999996</v>
      </c>
      <c r="J174" s="61">
        <f>SUM(J168:J173)</f>
        <v>627.65800000000013</v>
      </c>
      <c r="K174" s="80"/>
      <c r="L174" s="124">
        <f>SUM(L168:L173)</f>
        <v>125.04</v>
      </c>
      <c r="M174" s="57"/>
    </row>
    <row r="175" spans="1:13" ht="47.25">
      <c r="A175" s="5">
        <v>2</v>
      </c>
      <c r="B175" s="6">
        <v>5</v>
      </c>
      <c r="C175" s="34" t="s">
        <v>28</v>
      </c>
      <c r="D175" s="30" t="s">
        <v>29</v>
      </c>
      <c r="E175" s="41" t="s">
        <v>125</v>
      </c>
      <c r="F175" s="105">
        <v>60</v>
      </c>
      <c r="G175" s="105">
        <f>F175*2.16/60</f>
        <v>2.1600000000000006</v>
      </c>
      <c r="H175" s="105">
        <f>F175*4.5/60</f>
        <v>4.5</v>
      </c>
      <c r="I175" s="105">
        <f>F175*9.9/60</f>
        <v>9.9</v>
      </c>
      <c r="J175" s="105">
        <f>F175*88.8/60</f>
        <v>88.8</v>
      </c>
      <c r="K175" s="112" t="s">
        <v>126</v>
      </c>
      <c r="L175" s="123">
        <v>10.25</v>
      </c>
      <c r="M175" s="57"/>
    </row>
    <row r="176" spans="1:13" ht="31.5">
      <c r="A176" s="3"/>
      <c r="B176" s="4"/>
      <c r="C176" s="34"/>
      <c r="D176" s="30" t="s">
        <v>30</v>
      </c>
      <c r="E176" s="14" t="s">
        <v>159</v>
      </c>
      <c r="F176" s="119">
        <v>200</v>
      </c>
      <c r="G176" s="119">
        <f>F176*3.76/200</f>
        <v>3.76</v>
      </c>
      <c r="H176" s="119">
        <f>F176*6.41/200</f>
        <v>6.41</v>
      </c>
      <c r="I176" s="119">
        <f>F176*11.19/200</f>
        <v>11.19</v>
      </c>
      <c r="J176" s="119">
        <f>F176*117.6/200</f>
        <v>117.6</v>
      </c>
      <c r="K176" s="110" t="s">
        <v>69</v>
      </c>
      <c r="L176" s="123">
        <v>24.3</v>
      </c>
      <c r="M176" s="57"/>
    </row>
    <row r="177" spans="1:13" ht="15.75">
      <c r="A177" s="3"/>
      <c r="B177" s="4"/>
      <c r="C177" s="29"/>
      <c r="D177" s="30" t="s">
        <v>31</v>
      </c>
      <c r="E177" s="13" t="s">
        <v>70</v>
      </c>
      <c r="F177" s="104">
        <v>105</v>
      </c>
      <c r="G177" s="107">
        <f>F177*11.7/90</f>
        <v>13.65</v>
      </c>
      <c r="H177" s="107">
        <f>F177*11.61/90</f>
        <v>13.545</v>
      </c>
      <c r="I177" s="107">
        <f>F177*5.76/90</f>
        <v>6.72</v>
      </c>
      <c r="J177" s="107">
        <f>F177*174.6/90</f>
        <v>203.7</v>
      </c>
      <c r="K177" s="114" t="s">
        <v>79</v>
      </c>
      <c r="L177" s="123">
        <v>83.75</v>
      </c>
      <c r="M177" s="57"/>
    </row>
    <row r="178" spans="1:13" ht="15.75">
      <c r="A178" s="3"/>
      <c r="B178" s="4"/>
      <c r="C178" s="29"/>
      <c r="D178" s="30" t="s">
        <v>32</v>
      </c>
      <c r="E178" s="14" t="s">
        <v>71</v>
      </c>
      <c r="F178" s="119">
        <v>150</v>
      </c>
      <c r="G178" s="119">
        <f>F178*2.48/150</f>
        <v>2.48</v>
      </c>
      <c r="H178" s="119">
        <f>F178*3.98/150</f>
        <v>3.98</v>
      </c>
      <c r="I178" s="119">
        <f>F178*24.6/150</f>
        <v>24.6</v>
      </c>
      <c r="J178" s="119">
        <f>F178*144/150</f>
        <v>144</v>
      </c>
      <c r="K178" s="110" t="s">
        <v>72</v>
      </c>
      <c r="L178" s="123">
        <v>13.81</v>
      </c>
      <c r="M178" s="57"/>
    </row>
    <row r="179" spans="1:13" ht="15.75">
      <c r="A179" s="3"/>
      <c r="B179" s="4"/>
      <c r="C179" s="29"/>
      <c r="D179" s="30" t="s">
        <v>87</v>
      </c>
      <c r="E179" s="13" t="s">
        <v>44</v>
      </c>
      <c r="F179" s="119">
        <v>200</v>
      </c>
      <c r="G179" s="119">
        <v>1</v>
      </c>
      <c r="H179" s="119">
        <v>0.1</v>
      </c>
      <c r="I179" s="119">
        <v>19.8</v>
      </c>
      <c r="J179" s="119">
        <v>84</v>
      </c>
      <c r="K179" s="110" t="s">
        <v>73</v>
      </c>
      <c r="L179" s="123">
        <v>6.62</v>
      </c>
      <c r="M179" s="57"/>
    </row>
    <row r="180" spans="1:13" ht="31.5">
      <c r="A180" s="3"/>
      <c r="B180" s="4"/>
      <c r="C180" s="29"/>
      <c r="D180" s="30" t="s">
        <v>35</v>
      </c>
      <c r="E180" s="13" t="s">
        <v>36</v>
      </c>
      <c r="F180" s="107">
        <v>30</v>
      </c>
      <c r="G180" s="107">
        <f>SUM(F180*2.37/30)</f>
        <v>2.37</v>
      </c>
      <c r="H180" s="107">
        <f>SUM(F180*0.3/30)</f>
        <v>0.3</v>
      </c>
      <c r="I180" s="107">
        <f>SUM(F180*14.49/30)</f>
        <v>14.49</v>
      </c>
      <c r="J180" s="107">
        <f>SUM(F180*70.14/30)</f>
        <v>70.14</v>
      </c>
      <c r="K180" s="110" t="s">
        <v>25</v>
      </c>
      <c r="L180" s="123">
        <v>3.19</v>
      </c>
      <c r="M180" s="57"/>
    </row>
    <row r="181" spans="1:13" ht="15.75">
      <c r="A181" s="3"/>
      <c r="B181" s="4"/>
      <c r="C181" s="29"/>
      <c r="D181" s="30" t="s">
        <v>37</v>
      </c>
      <c r="E181" s="13" t="s">
        <v>128</v>
      </c>
      <c r="F181" s="107">
        <v>32</v>
      </c>
      <c r="G181" s="107">
        <f>SUM(F181*1.68/30)</f>
        <v>1.792</v>
      </c>
      <c r="H181" s="107">
        <f>SUM(F181*0.33/30)</f>
        <v>0.35200000000000004</v>
      </c>
      <c r="I181" s="107">
        <f>SUM(F181*14.82/30)</f>
        <v>15.808</v>
      </c>
      <c r="J181" s="107">
        <f>SUM(F181*68.97/30)</f>
        <v>73.567999999999998</v>
      </c>
      <c r="K181" s="110" t="s">
        <v>39</v>
      </c>
      <c r="L181" s="123">
        <v>3.12</v>
      </c>
      <c r="M181" s="57"/>
    </row>
    <row r="182" spans="1:13" ht="15.75">
      <c r="A182" s="3"/>
      <c r="B182" s="4"/>
      <c r="C182" s="29"/>
      <c r="D182" s="31"/>
      <c r="E182" s="58"/>
      <c r="F182" s="65"/>
      <c r="G182" s="65"/>
      <c r="H182" s="65"/>
      <c r="I182" s="65"/>
      <c r="J182" s="65"/>
      <c r="K182" s="43"/>
      <c r="L182" s="123"/>
      <c r="M182" s="57"/>
    </row>
    <row r="183" spans="1:13" ht="15.75">
      <c r="A183" s="3"/>
      <c r="B183" s="4"/>
      <c r="C183" s="29"/>
      <c r="D183" s="31"/>
      <c r="E183" s="58"/>
      <c r="F183" s="65"/>
      <c r="G183" s="65"/>
      <c r="H183" s="65"/>
      <c r="I183" s="65"/>
      <c r="J183" s="65"/>
      <c r="K183" s="43"/>
      <c r="L183" s="123"/>
      <c r="M183" s="57"/>
    </row>
    <row r="184" spans="1:13" ht="15.75">
      <c r="A184" s="23"/>
      <c r="B184" s="24"/>
      <c r="C184" s="32"/>
      <c r="D184" s="33" t="s">
        <v>27</v>
      </c>
      <c r="E184" s="60"/>
      <c r="F184" s="61">
        <f>SUM(F175:F183)</f>
        <v>777</v>
      </c>
      <c r="G184" s="61">
        <f>SUM(G175:G183)-0.01</f>
        <v>27.202000000000002</v>
      </c>
      <c r="H184" s="61">
        <f>SUM(H175:H183)-0.01</f>
        <v>29.177</v>
      </c>
      <c r="I184" s="61">
        <f>SUM(I175:I183)</f>
        <v>102.50799999999998</v>
      </c>
      <c r="J184" s="61">
        <f>SUM(J175:J183)</f>
        <v>781.80799999999988</v>
      </c>
      <c r="K184" s="80"/>
      <c r="L184" s="124">
        <f>SUM(L175:L183)+0.01</f>
        <v>145.04999999999998</v>
      </c>
      <c r="M184" s="57"/>
    </row>
    <row r="185" spans="1:13" ht="16.5" thickBot="1">
      <c r="A185" s="70">
        <v>2</v>
      </c>
      <c r="B185" s="71">
        <v>5</v>
      </c>
      <c r="C185" s="152" t="s">
        <v>38</v>
      </c>
      <c r="D185" s="153"/>
      <c r="E185" s="64"/>
      <c r="F185" s="66">
        <f>F174+F184</f>
        <v>1322</v>
      </c>
      <c r="G185" s="66">
        <f>G174+G184+0.01</f>
        <v>50.401133333333334</v>
      </c>
      <c r="H185" s="66">
        <f>H174+H184</f>
        <v>49.064999999999998</v>
      </c>
      <c r="I185" s="66">
        <f>I174+I184</f>
        <v>191.51899999999998</v>
      </c>
      <c r="J185" s="66">
        <f>J174+J184</f>
        <v>1409.4659999999999</v>
      </c>
      <c r="K185" s="81"/>
      <c r="L185" s="125">
        <f>L174+L184</f>
        <v>270.08999999999997</v>
      </c>
      <c r="M185" s="57"/>
    </row>
    <row r="186" spans="1:13" ht="16.5" thickBot="1">
      <c r="A186" s="72"/>
      <c r="B186" s="73"/>
      <c r="C186" s="154" t="s">
        <v>74</v>
      </c>
      <c r="D186" s="154"/>
      <c r="E186" s="154"/>
      <c r="F186" s="96">
        <f>(F23+F40+F59+F78+F96+F113+F131+F149+F167+F185)/(IF(F23=0,0,1)+IF(F40=0,0,1)+IF(F59=0,0,1)+IF(F78=0,0,1)+IF(F96=0,0,1)+IF(F113=0,0,1)+IF(F131=0,0,1)+IF(F149=0,0,1)+IF(F167=0,0,1)+IF(F185=0,0,1))</f>
        <v>1322.7</v>
      </c>
      <c r="G186" s="96">
        <f>(G23+G40+G59+G78+G96+G113+G131+G149+G167+G185)/(IF(G23=0,0,1)+IF(G40=0,0,1)+IF(G59=0,0,1)+IF(G78=0,0,1)+IF(G96=0,0,1)+IF(G113=0,0,1)+IF(G131=0,0,1)+IF(G149=0,0,1)+IF(G167=0,0,1)+IF(G185=0,0,1))</f>
        <v>54.150130000000011</v>
      </c>
      <c r="H186" s="96">
        <f>(H23+H40+H59+H78+H96+H113+H131+H149+H167+H185)/(IF(H23=0,0,1)+IF(H40=0,0,1)+IF(H59=0,0,1)+IF(H78=0,0,1)+IF(H96=0,0,1)+IF(H113=0,0,1)+IF(H131=0,0,1)+IF(H149=0,0,1)+IF(H167=0,0,1)+IF(H185=0,0,1))</f>
        <v>51.268066666666662</v>
      </c>
      <c r="I186" s="96">
        <f>(I23+I40+I59+I78+I96+I113+I131+I149+I167+I185)/(IF(I23=0,0,1)+IF(I40=0,0,1)+IF(I59=0,0,1)+IF(I78=0,0,1)+IF(I96=0,0,1)+IF(I113=0,0,1)+IF(I131=0,0,1)+IF(I149=0,0,1)+IF(I167=0,0,1)+IF(I185=0,0,1))</f>
        <v>197.28338333333335</v>
      </c>
      <c r="J186" s="96">
        <f>(J23+J40+J59+J78+J96+J113+J131+J149+J167+J185)/(IF(J23=0,0,1)+IF(J40=0,0,1)+IF(J59=0,0,1)+IF(J78=0,0,1)+IF(J96=0,0,1)+IF(J113=0,0,1)+IF(J131=0,0,1)+IF(J149=0,0,1)+IF(J167=0,0,1)+IF(J185=0,0,1))</f>
        <v>1474.64615</v>
      </c>
      <c r="K186" s="83"/>
      <c r="L186" s="131">
        <f>(L23+L40+L59+L78+L96+L113+L131+L149+L167+L185)/(IF(L23=0,0,1)+IF(L40=0,0,1)+IF(L59=0,0,1)+IF(L78=0,0,1)+IF(L96=0,0,1)+IF(L113=0,0,1)+IF(L131=0,0,1)+IF(L149=0,0,1)+IF(L167=0,0,1)+IF(L185=0,0,1))</f>
        <v>270.09000000000003</v>
      </c>
      <c r="M186" s="57"/>
    </row>
    <row r="187" spans="1:13">
      <c r="C187" s="74"/>
      <c r="D187" s="74"/>
      <c r="E187" s="91"/>
      <c r="F187" s="57"/>
      <c r="G187" s="57"/>
      <c r="H187" s="57"/>
      <c r="I187" s="57"/>
      <c r="J187" s="57"/>
      <c r="K187" s="84"/>
      <c r="L187" s="132"/>
      <c r="M187" s="57"/>
    </row>
    <row r="188" spans="1:13">
      <c r="C188" s="74"/>
      <c r="D188" s="74"/>
      <c r="E188" s="91"/>
      <c r="F188" s="57"/>
      <c r="G188" s="57"/>
      <c r="H188" s="57"/>
      <c r="I188" s="57"/>
      <c r="J188" s="57"/>
      <c r="K188" s="84"/>
      <c r="L188" s="132"/>
      <c r="M188" s="57"/>
    </row>
    <row r="189" spans="1:13">
      <c r="C189" s="74"/>
      <c r="D189" s="74"/>
      <c r="E189" s="91"/>
      <c r="F189" s="57"/>
      <c r="G189" s="57"/>
      <c r="H189" s="57"/>
      <c r="I189" s="57"/>
      <c r="J189" s="57"/>
      <c r="K189" s="84"/>
      <c r="L189" s="132"/>
      <c r="M189" s="57"/>
    </row>
    <row r="190" spans="1:13">
      <c r="C190" s="74"/>
      <c r="D190" s="74"/>
      <c r="E190" s="91"/>
      <c r="F190" s="57"/>
      <c r="G190" s="57"/>
      <c r="H190" s="57"/>
      <c r="I190" s="57"/>
      <c r="J190" s="57"/>
      <c r="K190" s="84"/>
      <c r="L190" s="132"/>
      <c r="M190" s="57"/>
    </row>
    <row r="191" spans="1:13">
      <c r="C191" s="74"/>
      <c r="D191" s="74"/>
      <c r="E191" s="91"/>
      <c r="F191" s="57"/>
      <c r="G191" s="57"/>
      <c r="H191" s="57"/>
      <c r="I191" s="57"/>
      <c r="J191" s="57"/>
      <c r="K191" s="84"/>
      <c r="L191" s="132"/>
      <c r="M191" s="57"/>
    </row>
    <row r="192" spans="1:13">
      <c r="C192" s="74"/>
      <c r="D192" s="74"/>
      <c r="E192" s="91"/>
      <c r="F192" s="57"/>
      <c r="G192" s="57"/>
      <c r="H192" s="57"/>
      <c r="I192" s="57"/>
      <c r="J192" s="57"/>
      <c r="K192" s="84"/>
      <c r="L192" s="132"/>
      <c r="M192" s="57"/>
    </row>
    <row r="193" spans="3:13">
      <c r="C193" s="74"/>
      <c r="D193" s="74"/>
      <c r="E193" s="91"/>
      <c r="F193" s="57"/>
      <c r="G193" s="57"/>
      <c r="H193" s="57"/>
      <c r="I193" s="57"/>
      <c r="J193" s="57"/>
      <c r="K193" s="84"/>
      <c r="L193" s="132"/>
      <c r="M193" s="57"/>
    </row>
    <row r="194" spans="3:13">
      <c r="C194" s="74"/>
      <c r="D194" s="74"/>
      <c r="E194" s="91"/>
      <c r="F194" s="57"/>
      <c r="G194" s="57"/>
      <c r="H194" s="57"/>
      <c r="I194" s="57"/>
      <c r="J194" s="57"/>
      <c r="K194" s="84"/>
      <c r="L194" s="132"/>
      <c r="M194" s="57"/>
    </row>
    <row r="195" spans="3:13">
      <c r="C195" s="74"/>
      <c r="D195" s="74"/>
      <c r="E195" s="91"/>
      <c r="F195" s="57"/>
      <c r="G195" s="57"/>
      <c r="H195" s="57"/>
      <c r="I195" s="57"/>
      <c r="J195" s="57"/>
      <c r="K195" s="84"/>
      <c r="L195" s="132"/>
      <c r="M195" s="57"/>
    </row>
    <row r="196" spans="3:13">
      <c r="C196" s="74"/>
      <c r="D196" s="74"/>
      <c r="E196" s="91"/>
      <c r="F196" s="57"/>
      <c r="G196" s="57"/>
      <c r="H196" s="57"/>
      <c r="I196" s="57"/>
      <c r="J196" s="57"/>
      <c r="K196" s="84"/>
      <c r="L196" s="132"/>
      <c r="M196" s="57"/>
    </row>
    <row r="197" spans="3:13">
      <c r="C197" s="74"/>
      <c r="D197" s="74"/>
      <c r="E197" s="92"/>
      <c r="F197" s="75"/>
      <c r="G197" s="75"/>
      <c r="H197" s="75"/>
      <c r="I197" s="75"/>
      <c r="J197" s="75"/>
      <c r="K197" s="85"/>
      <c r="L197" s="133"/>
      <c r="M197" s="75"/>
    </row>
    <row r="198" spans="3:13" ht="15.75">
      <c r="C198" s="74"/>
      <c r="D198" s="74"/>
      <c r="E198" s="93"/>
      <c r="F198" s="16"/>
      <c r="G198" s="17"/>
      <c r="H198" s="17"/>
      <c r="I198" s="17"/>
      <c r="J198" s="17"/>
      <c r="K198" s="20"/>
      <c r="L198" s="134"/>
      <c r="M198" s="76"/>
    </row>
    <row r="199" spans="3:13" ht="15.75">
      <c r="C199" s="74"/>
      <c r="D199" s="74"/>
      <c r="E199" s="94"/>
      <c r="F199" s="18"/>
      <c r="G199" s="17"/>
      <c r="H199" s="17"/>
      <c r="I199" s="17"/>
      <c r="J199" s="17"/>
      <c r="K199" s="20"/>
      <c r="L199" s="134"/>
      <c r="M199" s="76"/>
    </row>
    <row r="200" spans="3:13" ht="15.75">
      <c r="C200" s="74"/>
      <c r="D200" s="74"/>
      <c r="E200" s="19"/>
      <c r="F200" s="17"/>
      <c r="G200" s="17"/>
      <c r="H200" s="17"/>
      <c r="I200" s="17"/>
      <c r="J200" s="17"/>
      <c r="K200" s="20"/>
      <c r="L200" s="133"/>
      <c r="M200" s="75"/>
    </row>
    <row r="201" spans="3:13" ht="15.75">
      <c r="C201" s="74"/>
      <c r="D201" s="74"/>
      <c r="E201" s="19"/>
      <c r="F201" s="17"/>
      <c r="G201" s="17"/>
      <c r="H201" s="17"/>
      <c r="I201" s="17"/>
      <c r="J201" s="17"/>
      <c r="K201" s="20"/>
      <c r="L201" s="133"/>
      <c r="M201" s="75"/>
    </row>
    <row r="202" spans="3:13" ht="15.75">
      <c r="C202" s="74"/>
      <c r="D202" s="74"/>
      <c r="E202" s="19"/>
      <c r="F202" s="17"/>
      <c r="G202" s="17"/>
      <c r="H202" s="17"/>
      <c r="I202" s="17"/>
      <c r="J202" s="17"/>
      <c r="K202" s="20"/>
      <c r="L202" s="133"/>
      <c r="M202" s="75"/>
    </row>
    <row r="203" spans="3:13" ht="15.75">
      <c r="C203" s="74"/>
      <c r="D203" s="74"/>
      <c r="E203" s="19"/>
      <c r="F203" s="17"/>
      <c r="G203" s="17"/>
      <c r="H203" s="17"/>
      <c r="I203" s="17"/>
      <c r="J203" s="17"/>
      <c r="K203" s="20"/>
      <c r="L203" s="133"/>
      <c r="M203" s="75"/>
    </row>
    <row r="204" spans="3:13" ht="15.75">
      <c r="C204" s="74"/>
      <c r="D204" s="74"/>
      <c r="E204" s="21"/>
      <c r="F204" s="22"/>
      <c r="G204" s="17"/>
      <c r="H204" s="17"/>
      <c r="I204" s="17"/>
      <c r="J204" s="17"/>
      <c r="K204" s="85"/>
      <c r="L204" s="133"/>
      <c r="M204" s="75"/>
    </row>
    <row r="205" spans="3:13" ht="15.75">
      <c r="C205" s="74"/>
      <c r="D205" s="74"/>
      <c r="E205" s="19"/>
      <c r="F205" s="17"/>
      <c r="G205" s="17"/>
      <c r="H205" s="17"/>
      <c r="I205" s="17"/>
      <c r="J205" s="17"/>
      <c r="K205" s="86"/>
      <c r="L205" s="133"/>
      <c r="M205" s="75"/>
    </row>
    <row r="206" spans="3:13" ht="15.75">
      <c r="C206" s="74"/>
      <c r="D206" s="74"/>
      <c r="E206" s="19"/>
      <c r="F206" s="17"/>
      <c r="G206" s="17"/>
      <c r="H206" s="17"/>
      <c r="I206" s="17"/>
      <c r="J206" s="17"/>
      <c r="K206" s="86"/>
      <c r="L206" s="133"/>
      <c r="M206" s="75"/>
    </row>
    <row r="207" spans="3:13" ht="15.75">
      <c r="C207" s="74"/>
      <c r="D207" s="74"/>
      <c r="E207" s="19"/>
      <c r="F207" s="17"/>
      <c r="G207" s="17"/>
      <c r="H207" s="17"/>
      <c r="I207" s="17"/>
      <c r="J207" s="17"/>
      <c r="K207" s="86"/>
      <c r="L207" s="133"/>
      <c r="M207" s="75"/>
    </row>
    <row r="208" spans="3:13" ht="15.75">
      <c r="C208" s="74"/>
      <c r="D208" s="74"/>
      <c r="E208" s="19"/>
      <c r="F208" s="17"/>
      <c r="G208" s="17"/>
      <c r="H208" s="17"/>
      <c r="I208" s="17"/>
      <c r="J208" s="17"/>
      <c r="K208" s="86"/>
      <c r="L208" s="133"/>
      <c r="M208" s="75"/>
    </row>
    <row r="209" spans="3:13" ht="15.75">
      <c r="C209" s="74"/>
      <c r="D209" s="74"/>
      <c r="E209" s="19"/>
      <c r="F209" s="17"/>
      <c r="G209" s="17"/>
      <c r="H209" s="17"/>
      <c r="I209" s="17"/>
      <c r="J209" s="17"/>
      <c r="K209" s="86"/>
      <c r="L209" s="133"/>
      <c r="M209" s="75"/>
    </row>
    <row r="210" spans="3:13" ht="15.75">
      <c r="C210" s="74"/>
      <c r="D210" s="74"/>
      <c r="E210" s="16"/>
      <c r="F210" s="17"/>
      <c r="G210" s="17"/>
      <c r="H210" s="17"/>
      <c r="I210" s="17"/>
      <c r="J210" s="17"/>
      <c r="K210" s="37"/>
      <c r="L210" s="133"/>
      <c r="M210" s="75"/>
    </row>
    <row r="211" spans="3:13" ht="15.75">
      <c r="C211" s="74"/>
      <c r="D211" s="74"/>
      <c r="E211" s="16"/>
      <c r="F211" s="17"/>
      <c r="G211" s="17"/>
      <c r="H211" s="17"/>
      <c r="I211" s="17"/>
      <c r="J211" s="17"/>
      <c r="K211" s="86"/>
      <c r="L211" s="133"/>
      <c r="M211" s="75"/>
    </row>
    <row r="212" spans="3:13" ht="15.75">
      <c r="E212" s="9"/>
      <c r="F212" s="8"/>
      <c r="G212" s="8"/>
      <c r="H212" s="8"/>
      <c r="I212" s="8"/>
      <c r="J212" s="8"/>
      <c r="K212" s="10"/>
      <c r="L212" s="135"/>
      <c r="M212" s="77"/>
    </row>
    <row r="213" spans="3:13">
      <c r="E213" s="95"/>
      <c r="F213" s="77"/>
      <c r="G213" s="77"/>
      <c r="H213" s="77"/>
      <c r="I213" s="77"/>
      <c r="J213" s="77"/>
      <c r="K213" s="87"/>
      <c r="L213" s="135"/>
      <c r="M213" s="77"/>
    </row>
    <row r="214" spans="3:13">
      <c r="E214" s="95"/>
      <c r="F214" s="77"/>
      <c r="G214" s="77"/>
      <c r="H214" s="77"/>
      <c r="I214" s="77"/>
      <c r="J214" s="77"/>
      <c r="K214" s="87"/>
      <c r="L214" s="135"/>
      <c r="M214" s="77"/>
    </row>
  </sheetData>
  <mergeCells count="15">
    <mergeCell ref="C149:D149"/>
    <mergeCell ref="C167:D167"/>
    <mergeCell ref="C185:D185"/>
    <mergeCell ref="C186:E186"/>
    <mergeCell ref="C59:D59"/>
    <mergeCell ref="C78:D78"/>
    <mergeCell ref="C96:D96"/>
    <mergeCell ref="C113:D113"/>
    <mergeCell ref="C131:D131"/>
    <mergeCell ref="C1:E1"/>
    <mergeCell ref="H1:K1"/>
    <mergeCell ref="H2:K2"/>
    <mergeCell ref="C23:D23"/>
    <mergeCell ref="C40:D40"/>
    <mergeCell ref="A2:F2"/>
  </mergeCells>
  <pageMargins left="0.70866141732283505" right="0.70866141732283505" top="0.74803149606299202" bottom="0.74803149606299202" header="0.31496062992126" footer="0.31496062992126"/>
  <pageSetup paperSize="9" scale="92" orientation="landscape" r:id="rId1"/>
  <rowBreaks count="9" manualBreakCount="9">
    <brk id="23" max="11" man="1"/>
    <brk id="40" max="11" man="1"/>
    <brk id="59" max="11" man="1"/>
    <brk id="78" max="11" man="1"/>
    <brk id="96" max="11" man="1"/>
    <brk id="113" max="11" man="1"/>
    <brk id="131" max="11" man="1"/>
    <brk id="149" max="11" man="1"/>
    <brk id="167" max="11" man="1"/>
  </rowBreaks>
  <ignoredErrors>
    <ignoredError sqref="G8:G9 G176:J176 G178:J178" unlockedFormula="1"/>
    <ignoredError sqref="K15 K13 K24 K26 K68 K80 K160:K161 K168 K179 K175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14" sqref="B14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все</vt:lpstr>
      <vt:lpstr>лист</vt:lpstr>
      <vt:lpstr>все!Область_печати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Sekretar</cp:lastModifiedBy>
  <cp:lastPrinted>2026-01-21T09:53:52Z</cp:lastPrinted>
  <dcterms:created xsi:type="dcterms:W3CDTF">2022-05-16T14:23:00Z</dcterms:created>
  <dcterms:modified xsi:type="dcterms:W3CDTF">2026-02-19T10:22:00Z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FD5DB6AEB7FF47B2ADB021C9F41787CB_12</vt:lpwstr>
  </property>
  <property fmtid="{D5CDD505-2E9C-101B-9397-08002B2CF9AE}" pid="3" name="KSOProductBuildVer">
    <vt:lpwstr>1049-12.2.0.17152</vt:lpwstr>
  </property>
</Properties>
</file>